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cores" sheetId="1" r:id="rId1"/>
    <sheet name="Recap" sheetId="2" r:id="rId2"/>
    <sheet name="Summary" sheetId="3" r:id="rId3"/>
  </sheets>
  <definedNames>
    <definedName name="_xlnm.Print_Area" localSheetId="1">'Recap'!$A$1:$O$28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<sst xmlns="http://schemas.openxmlformats.org/spreadsheetml/2006/main" count="131" uniqueCount="63">
  <si>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</si>
  <si>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</si>
  <si>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</si>
  <si>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</si>
  <si>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</si>
  <si>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</si>
  <si>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</si>
  <si>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</si>
  <si>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</si>
  <si>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</si>
  <si>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</si>
  <si>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</si>
  <si>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</si>
  <si>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</si>
  <si>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</si>
  <si>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</si>
  <si>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3RD PLACE</t>
  </si>
  <si>
    <t>2ND PLACE</t>
  </si>
  <si>
    <t>1ST PLACE</t>
  </si>
  <si>
    <t xml:space="preserve">COLOR GUARD </t>
  </si>
  <si>
    <t xml:space="preserve">OVERALL </t>
  </si>
  <si>
    <t>1st PLACE</t>
  </si>
  <si>
    <t>8th PLACE</t>
  </si>
  <si>
    <t>7th PLACE</t>
  </si>
  <si>
    <t>6th PLACE</t>
  </si>
  <si>
    <t>5th PLACE</t>
  </si>
  <si>
    <t>4th PLACE</t>
  </si>
  <si>
    <t>3rd PLACE</t>
  </si>
  <si>
    <t>2nd PLACE</t>
  </si>
  <si>
    <t>VISUAL</t>
  </si>
  <si>
    <t>OVERALL BAND</t>
  </si>
  <si>
    <t>TOTAL</t>
  </si>
  <si>
    <t>GEN EFFECT</t>
  </si>
  <si>
    <r>
      <t>#N/A</t>
    </r>
    <r>
      <rPr>
        <b/>
        <i/>
        <sz val="12"/>
        <color indexed="10"/>
        <rFont val="Arial"/>
        <family val="2"/>
      </rPr>
      <t xml:space="preserve"> - A tie in overall points has occurred.  Refer to "Recap" page (OVERALL BAND points) to determine which two bands have tied.  Band with higher MUSIC score takes the higher place.</t>
    </r>
  </si>
  <si>
    <t>PENALTIES</t>
  </si>
  <si>
    <t>FINAL SCORE</t>
  </si>
  <si>
    <t>EX</t>
  </si>
  <si>
    <t>MR</t>
  </si>
  <si>
    <t>SH</t>
  </si>
  <si>
    <t>VR</t>
  </si>
  <si>
    <t>EF</t>
  </si>
  <si>
    <t>AVG</t>
  </si>
  <si>
    <t>PQ</t>
  </si>
  <si>
    <t>CMP</t>
  </si>
  <si>
    <t>Tot</t>
  </si>
  <si>
    <t>EXC</t>
  </si>
  <si>
    <t>Music Performance - 40%</t>
  </si>
  <si>
    <t>GE Music - 15%</t>
  </si>
  <si>
    <t>GE Visual - 15%</t>
  </si>
  <si>
    <t>Score</t>
  </si>
  <si>
    <t>Avg</t>
  </si>
  <si>
    <t>Marching - Visual - 30%</t>
  </si>
  <si>
    <t>CLASS 4A</t>
  </si>
  <si>
    <r>
      <t xml:space="preserve">2009 MHSAA-MBA STATE MARCHING BAND CHAMPIONSHIP - </t>
    </r>
    <r>
      <rPr>
        <b/>
        <i/>
        <sz val="14"/>
        <color indexed="10"/>
        <rFont val="Arial"/>
        <family val="2"/>
      </rPr>
      <t>FINALS</t>
    </r>
  </si>
  <si>
    <t>October 24, 2009 - Pearl, MS</t>
  </si>
  <si>
    <t>New Albany</t>
  </si>
  <si>
    <t>Pontotoc</t>
  </si>
  <si>
    <t>Kosciusko</t>
  </si>
  <si>
    <t>Lewisburg</t>
  </si>
  <si>
    <t>Columbia</t>
  </si>
  <si>
    <t>Center Hill</t>
  </si>
  <si>
    <t>South Jones</t>
  </si>
  <si>
    <t>Cleveland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</si>
</sst>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i/>
      <u val="single"/>
      <sz val="14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Tahoma"/>
      <family val="2"/>
    </font>
    <font>
      <b/>
      <sz val="10"/>
      <color indexed="57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i/>
      <sz val="24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tted"/>
      <right style="double"/>
      <top style="double"/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8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 shrinkToFit="1"/>
      <protection/>
    </xf>
    <xf numFmtId="0" fontId="9" fillId="0" borderId="15" xfId="0" applyFont="1" applyFill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/>
      <protection locked="0"/>
    </xf>
    <xf numFmtId="0" fontId="5" fillId="8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5" fillId="8" borderId="15" xfId="0" applyFont="1" applyFill="1" applyBorder="1" applyAlignment="1" applyProtection="1">
      <alignment horizontal="center" vertical="center"/>
      <protection/>
    </xf>
    <xf numFmtId="166" fontId="7" fillId="8" borderId="17" xfId="0" applyNumberFormat="1" applyFont="1" applyFill="1" applyBorder="1" applyAlignment="1" applyProtection="1">
      <alignment horizontal="center" vertical="center"/>
      <protection/>
    </xf>
    <xf numFmtId="0" fontId="8" fillId="8" borderId="18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0" fillId="0" borderId="28" xfId="0" applyBorder="1" applyAlignment="1">
      <alignment horizontal="center" shrinkToFit="1"/>
    </xf>
    <xf numFmtId="0" fontId="1" fillId="0" borderId="28" xfId="0" applyFont="1" applyBorder="1" applyAlignment="1">
      <alignment horizontal="center" vertical="top"/>
    </xf>
    <xf numFmtId="0" fontId="8" fillId="22" borderId="18" xfId="0" applyFont="1" applyFill="1" applyBorder="1" applyAlignment="1" applyProtection="1">
      <alignment horizontal="center" vertical="center"/>
      <protection/>
    </xf>
    <xf numFmtId="0" fontId="9" fillId="22" borderId="21" xfId="0" applyFont="1" applyFill="1" applyBorder="1" applyAlignment="1" applyProtection="1">
      <alignment horizontal="center"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23" xfId="0" applyFont="1" applyFill="1" applyBorder="1" applyAlignment="1">
      <alignment horizontal="center"/>
    </xf>
    <xf numFmtId="0" fontId="5" fillId="22" borderId="19" xfId="0" applyFont="1" applyFill="1" applyBorder="1" applyAlignment="1" applyProtection="1">
      <alignment horizontal="center" vertical="center" shrinkToFit="1"/>
      <protection/>
    </xf>
    <xf numFmtId="0" fontId="5" fillId="22" borderId="20" xfId="0" applyFont="1" applyFill="1" applyBorder="1" applyAlignment="1" applyProtection="1">
      <alignment horizontal="center" vertical="center" shrinkToFi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0" xfId="0" applyFont="1" applyFill="1" applyBorder="1" applyAlignment="1" applyProtection="1">
      <alignment horizontal="center" vertical="center" wrapText="1"/>
      <protection/>
    </xf>
    <xf numFmtId="166" fontId="8" fillId="8" borderId="17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shrinkToFit="1"/>
    </xf>
    <xf numFmtId="2" fontId="7" fillId="0" borderId="13" xfId="0" applyNumberFormat="1" applyFont="1" applyBorder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10" fillId="8" borderId="31" xfId="0" applyFont="1" applyFill="1" applyBorder="1" applyAlignment="1">
      <alignment horizontal="center"/>
    </xf>
    <xf numFmtId="166" fontId="15" fillId="0" borderId="32" xfId="0" applyNumberFormat="1" applyFont="1" applyFill="1" applyBorder="1" applyAlignment="1">
      <alignment/>
    </xf>
    <xf numFmtId="166" fontId="15" fillId="0" borderId="33" xfId="0" applyNumberFormat="1" applyFont="1" applyFill="1" applyBorder="1" applyAlignment="1">
      <alignment shrinkToFit="1"/>
    </xf>
    <xf numFmtId="166" fontId="15" fillId="0" borderId="34" xfId="0" applyNumberFormat="1" applyFont="1" applyFill="1" applyBorder="1" applyAlignment="1">
      <alignment shrinkToFit="1"/>
    </xf>
    <xf numFmtId="9" fontId="32" fillId="8" borderId="23" xfId="0" applyNumberFormat="1" applyFont="1" applyFill="1" applyBorder="1" applyAlignment="1">
      <alignment horizontal="center"/>
    </xf>
    <xf numFmtId="166" fontId="15" fillId="0" borderId="34" xfId="0" applyNumberFormat="1" applyFont="1" applyFill="1" applyBorder="1" applyAlignment="1">
      <alignment/>
    </xf>
    <xf numFmtId="0" fontId="9" fillId="8" borderId="31" xfId="0" applyFont="1" applyFill="1" applyBorder="1" applyAlignment="1">
      <alignment horizontal="center"/>
    </xf>
    <xf numFmtId="0" fontId="9" fillId="8" borderId="31" xfId="0" applyFont="1" applyFill="1" applyBorder="1" applyAlignment="1" applyProtection="1">
      <alignment horizontal="center"/>
      <protection/>
    </xf>
    <xf numFmtId="166" fontId="15" fillId="0" borderId="32" xfId="0" applyNumberFormat="1" applyFont="1" applyFill="1" applyBorder="1" applyAlignment="1">
      <alignment shrinkToFit="1"/>
    </xf>
    <xf numFmtId="165" fontId="16" fillId="0" borderId="35" xfId="0" applyNumberFormat="1" applyFont="1" applyFill="1" applyBorder="1" applyAlignment="1" applyProtection="1">
      <alignment/>
      <protection locked="0"/>
    </xf>
    <xf numFmtId="165" fontId="16" fillId="0" borderId="36" xfId="0" applyNumberFormat="1" applyFont="1" applyFill="1" applyBorder="1" applyAlignment="1" applyProtection="1">
      <alignment/>
      <protection locked="0"/>
    </xf>
    <xf numFmtId="165" fontId="16" fillId="0" borderId="37" xfId="0" applyNumberFormat="1" applyFont="1" applyFill="1" applyBorder="1" applyAlignment="1" applyProtection="1">
      <alignment/>
      <protection locked="0"/>
    </xf>
    <xf numFmtId="165" fontId="16" fillId="0" borderId="38" xfId="0" applyNumberFormat="1" applyFont="1" applyFill="1" applyBorder="1" applyAlignment="1" applyProtection="1">
      <alignment/>
      <protection locked="0"/>
    </xf>
    <xf numFmtId="2" fontId="31" fillId="0" borderId="36" xfId="0" applyNumberFormat="1" applyFont="1" applyFill="1" applyBorder="1" applyAlignment="1" applyProtection="1">
      <alignment/>
      <protection/>
    </xf>
    <xf numFmtId="2" fontId="31" fillId="0" borderId="38" xfId="0" applyNumberFormat="1" applyFont="1" applyFill="1" applyBorder="1" applyAlignment="1" applyProtection="1">
      <alignment/>
      <protection/>
    </xf>
    <xf numFmtId="165" fontId="33" fillId="0" borderId="36" xfId="0" applyNumberFormat="1" applyFont="1" applyFill="1" applyBorder="1" applyAlignment="1" applyProtection="1">
      <alignment/>
      <protection/>
    </xf>
    <xf numFmtId="165" fontId="33" fillId="0" borderId="38" xfId="0" applyNumberFormat="1" applyFont="1" applyFill="1" applyBorder="1" applyAlignment="1" applyProtection="1">
      <alignment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166" fontId="12" fillId="4" borderId="17" xfId="0" applyNumberFormat="1" applyFont="1" applyFill="1" applyBorder="1" applyAlignment="1" applyProtection="1">
      <alignment horizontal="center" vertical="center"/>
      <protection/>
    </xf>
    <xf numFmtId="166" fontId="12" fillId="22" borderId="17" xfId="0" applyNumberFormat="1" applyFont="1" applyFill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horizontal="center" vertical="center"/>
      <protection/>
    </xf>
    <xf numFmtId="166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8" borderId="27" xfId="0" applyFont="1" applyFill="1" applyBorder="1" applyAlignment="1">
      <alignment horizontal="center" shrinkToFit="1"/>
    </xf>
    <xf numFmtId="0" fontId="9" fillId="8" borderId="28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165" fontId="16" fillId="0" borderId="40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33" xfId="0" applyNumberFormat="1" applyFont="1" applyFill="1" applyBorder="1" applyAlignment="1">
      <alignment horizontal="center" vertical="center" shrinkToFit="1"/>
    </xf>
    <xf numFmtId="166" fontId="15" fillId="0" borderId="42" xfId="0" applyNumberFormat="1" applyFont="1" applyFill="1" applyBorder="1" applyAlignment="1">
      <alignment horizontal="center" vertical="center" shrinkToFit="1"/>
    </xf>
    <xf numFmtId="165" fontId="16" fillId="0" borderId="43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22" borderId="27" xfId="0" applyFont="1" applyFill="1" applyBorder="1" applyAlignment="1">
      <alignment horizontal="center"/>
    </xf>
    <xf numFmtId="0" fontId="9" fillId="22" borderId="28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Fill="1" applyBorder="1" applyAlignment="1" applyProtection="1">
      <alignment horizontal="center" vertical="center" shrinkToFit="1"/>
      <protection locked="0"/>
    </xf>
    <xf numFmtId="0" fontId="9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166" fontId="15" fillId="0" borderId="46" xfId="0" applyNumberFormat="1" applyFont="1" applyFill="1" applyBorder="1" applyAlignment="1">
      <alignment horizontal="center" vertical="center" shrinkToFit="1"/>
    </xf>
    <xf numFmtId="166" fontId="15" fillId="0" borderId="47" xfId="0" applyNumberFormat="1" applyFont="1" applyFill="1" applyBorder="1" applyAlignment="1">
      <alignment horizontal="center" vertical="center" shrinkToFit="1"/>
    </xf>
    <xf numFmtId="165" fontId="33" fillId="0" borderId="40" xfId="0" applyNumberFormat="1" applyFont="1" applyFill="1" applyBorder="1" applyAlignment="1" applyProtection="1">
      <alignment horizontal="center" vertical="center" shrinkToFit="1"/>
      <protection/>
    </xf>
    <xf numFmtId="165" fontId="33" fillId="0" borderId="41" xfId="0" applyNumberFormat="1" applyFont="1" applyFill="1" applyBorder="1" applyAlignment="1" applyProtection="1">
      <alignment horizontal="center" vertical="center" shrinkToFit="1"/>
      <protection/>
    </xf>
    <xf numFmtId="2" fontId="33" fillId="0" borderId="40" xfId="0" applyNumberFormat="1" applyFont="1" applyFill="1" applyBorder="1" applyAlignment="1" applyProtection="1">
      <alignment horizontal="center" vertical="center" shrinkToFit="1"/>
      <protection/>
    </xf>
    <xf numFmtId="2" fontId="33" fillId="0" borderId="41" xfId="0" applyNumberFormat="1" applyFont="1" applyFill="1" applyBorder="1" applyAlignment="1" applyProtection="1">
      <alignment horizontal="center" vertical="center" shrinkToFit="1"/>
      <protection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50" xfId="0" applyNumberFormat="1" applyFont="1" applyFill="1" applyBorder="1" applyAlignment="1" applyProtection="1">
      <alignment horizontal="center" vertical="center"/>
      <protection/>
    </xf>
    <xf numFmtId="0" fontId="5" fillId="8" borderId="51" xfId="0" applyFont="1" applyFill="1" applyBorder="1" applyAlignment="1" applyProtection="1">
      <alignment horizontal="center" vertical="center"/>
      <protection/>
    </xf>
    <xf numFmtId="0" fontId="5" fillId="8" borderId="52" xfId="0" applyFont="1" applyFill="1" applyBorder="1" applyAlignment="1" applyProtection="1">
      <alignment horizontal="center" vertical="center"/>
      <protection/>
    </xf>
    <xf numFmtId="166" fontId="12" fillId="0" borderId="53" xfId="0" applyNumberFormat="1" applyFont="1" applyFill="1" applyBorder="1" applyAlignment="1" applyProtection="1">
      <alignment horizontal="center" vertical="center"/>
      <protection/>
    </xf>
    <xf numFmtId="166" fontId="12" fillId="0" borderId="54" xfId="0" applyNumberFormat="1" applyFont="1" applyFill="1" applyBorder="1" applyAlignment="1" applyProtection="1">
      <alignment horizontal="center" vertical="center"/>
      <protection/>
    </xf>
    <xf numFmtId="0" fontId="5" fillId="8" borderId="16" xfId="0" applyFont="1" applyFill="1" applyBorder="1" applyAlignment="1" applyProtection="1">
      <alignment horizontal="center" vertical="center"/>
      <protection/>
    </xf>
    <xf numFmtId="0" fontId="5" fillId="8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8" borderId="48" xfId="0" applyFont="1" applyFill="1" applyBorder="1" applyAlignment="1" applyProtection="1">
      <alignment horizontal="center"/>
      <protection/>
    </xf>
    <xf numFmtId="0" fontId="5" fillId="8" borderId="58" xfId="0" applyFont="1" applyFill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 vertical="center" textRotation="255"/>
      <protection/>
    </xf>
    <xf numFmtId="0" fontId="34" fillId="0" borderId="28" xfId="0" applyFont="1" applyBorder="1" applyAlignment="1" applyProtection="1">
      <alignment horizontal="center" vertical="center" textRotation="255"/>
      <protection/>
    </xf>
    <xf numFmtId="0" fontId="34" fillId="0" borderId="11" xfId="0" applyFont="1" applyBorder="1" applyAlignment="1" applyProtection="1">
      <alignment horizontal="center" vertical="center" textRotation="255"/>
      <protection/>
    </xf>
    <xf numFmtId="0" fontId="34" fillId="0" borderId="59" xfId="0" applyFont="1" applyBorder="1" applyAlignment="1" applyProtection="1">
      <alignment horizontal="center" vertical="center" textRotation="255"/>
      <protection/>
    </xf>
    <xf numFmtId="0" fontId="34" fillId="0" borderId="0" xfId="0" applyFont="1" applyBorder="1" applyAlignment="1" applyProtection="1">
      <alignment horizontal="center" vertical="center" textRotation="255"/>
      <protection/>
    </xf>
    <xf numFmtId="0" fontId="34" fillId="0" borderId="25" xfId="0" applyFont="1" applyBorder="1" applyAlignment="1" applyProtection="1">
      <alignment horizontal="center" vertical="center" textRotation="255"/>
      <protection/>
    </xf>
    <xf numFmtId="0" fontId="34" fillId="0" borderId="45" xfId="0" applyFont="1" applyBorder="1" applyAlignment="1" applyProtection="1">
      <alignment horizontal="center" vertical="center" textRotation="255"/>
      <protection/>
    </xf>
    <xf numFmtId="0" fontId="34" fillId="0" borderId="26" xfId="0" applyFont="1" applyBorder="1" applyAlignment="1" applyProtection="1">
      <alignment horizontal="center" vertical="center" textRotation="255"/>
      <protection/>
    </xf>
    <xf numFmtId="0" fontId="34" fillId="0" borderId="13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60" xfId="0" applyFont="1" applyFill="1" applyBorder="1" applyAlignment="1" applyProtection="1">
      <alignment horizontal="center" vertical="center"/>
      <protection/>
    </xf>
    <xf numFmtId="0" fontId="5" fillId="8" borderId="61" xfId="0" applyFont="1" applyFill="1" applyBorder="1" applyAlignment="1" applyProtection="1">
      <alignment horizontal="center" vertical="center"/>
      <protection/>
    </xf>
    <xf numFmtId="0" fontId="5" fillId="8" borderId="62" xfId="0" applyFont="1" applyFill="1" applyBorder="1" applyAlignment="1" applyProtection="1">
      <alignment horizontal="center" vertical="center"/>
      <protection/>
    </xf>
    <xf numFmtId="0" fontId="5" fillId="8" borderId="63" xfId="0" applyFont="1" applyFill="1" applyBorder="1" applyAlignment="1" applyProtection="1">
      <alignment horizontal="center" vertical="center"/>
      <protection/>
    </xf>
    <xf numFmtId="0" fontId="5" fillId="8" borderId="64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4" borderId="65" xfId="0" applyFont="1" applyFill="1" applyBorder="1" applyAlignment="1" applyProtection="1">
      <alignment horizontal="center" vertical="center" wrapText="1"/>
      <protection/>
    </xf>
    <xf numFmtId="0" fontId="5" fillId="4" borderId="66" xfId="0" applyFont="1" applyFill="1" applyBorder="1" applyAlignment="1" applyProtection="1">
      <alignment horizontal="center" vertical="center" wrapText="1"/>
      <protection/>
    </xf>
    <xf numFmtId="0" fontId="5" fillId="22" borderId="27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5" fillId="8" borderId="27" xfId="0" applyFont="1" applyFill="1" applyBorder="1" applyAlignment="1" applyProtection="1">
      <alignment horizontal="center"/>
      <protection/>
    </xf>
    <xf numFmtId="0" fontId="5" fillId="8" borderId="28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2" fillId="0" borderId="5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5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88" zoomScaleNormal="88" zoomScalePageLayoutView="0" workbookViewId="0" topLeftCell="A1">
      <pane ySplit="5" topLeftCell="BM6" activePane="bottomLeft" state="frozen"/>
      <selection pane="topLeft" activeCell="A1" sqref="A1"/>
      <selection pane="bottomLeft" activeCell="A22" sqref="A22:A23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.75">
      <c r="A1" s="41" t="s">
        <v>53</v>
      </c>
    </row>
    <row r="2" ht="15.75">
      <c r="A2" s="34" t="s">
        <v>54</v>
      </c>
    </row>
    <row r="3" ht="13.5" thickBot="1">
      <c r="A3" s="14" t="s">
        <v>52</v>
      </c>
    </row>
    <row r="4" spans="1:26" ht="13.5" thickTop="1">
      <c r="A4" s="121" t="s">
        <v>1</v>
      </c>
      <c r="B4" s="5"/>
      <c r="C4" s="109" t="s">
        <v>46</v>
      </c>
      <c r="D4" s="110"/>
      <c r="E4" s="110"/>
      <c r="F4" s="111"/>
      <c r="G4" s="95" t="s">
        <v>51</v>
      </c>
      <c r="H4" s="96"/>
      <c r="I4" s="96"/>
      <c r="J4" s="97"/>
      <c r="K4" s="109" t="s">
        <v>47</v>
      </c>
      <c r="L4" s="110"/>
      <c r="M4" s="110"/>
      <c r="N4" s="110"/>
      <c r="O4" s="111"/>
      <c r="P4" s="110" t="s">
        <v>48</v>
      </c>
      <c r="Q4" s="110"/>
      <c r="R4" s="110"/>
      <c r="S4" s="110"/>
      <c r="T4" s="111"/>
      <c r="U4" s="118" t="s">
        <v>13</v>
      </c>
      <c r="V4" s="119"/>
      <c r="W4" s="120"/>
      <c r="X4" s="104" t="s">
        <v>12</v>
      </c>
      <c r="Y4" s="105"/>
      <c r="Z4" s="106"/>
    </row>
    <row r="5" spans="1:26" ht="13.5" thickBot="1">
      <c r="A5" s="122"/>
      <c r="B5" s="11"/>
      <c r="C5" s="38" t="s">
        <v>42</v>
      </c>
      <c r="D5" s="39" t="s">
        <v>43</v>
      </c>
      <c r="E5" s="78" t="s">
        <v>44</v>
      </c>
      <c r="F5" s="75" t="s">
        <v>49</v>
      </c>
      <c r="G5" s="38" t="s">
        <v>43</v>
      </c>
      <c r="H5" s="39" t="s">
        <v>45</v>
      </c>
      <c r="I5" s="71" t="s">
        <v>41</v>
      </c>
      <c r="J5" s="75" t="s">
        <v>49</v>
      </c>
      <c r="K5" s="38" t="s">
        <v>37</v>
      </c>
      <c r="L5" s="39" t="s">
        <v>38</v>
      </c>
      <c r="M5" s="77" t="s">
        <v>44</v>
      </c>
      <c r="N5" s="77" t="s">
        <v>50</v>
      </c>
      <c r="O5" s="75" t="s">
        <v>49</v>
      </c>
      <c r="P5" s="40" t="s">
        <v>39</v>
      </c>
      <c r="Q5" s="39" t="s">
        <v>38</v>
      </c>
      <c r="R5" s="77" t="s">
        <v>44</v>
      </c>
      <c r="S5" s="77" t="s">
        <v>50</v>
      </c>
      <c r="T5" s="75" t="s">
        <v>49</v>
      </c>
      <c r="U5" s="35" t="s">
        <v>36</v>
      </c>
      <c r="V5" s="36" t="s">
        <v>40</v>
      </c>
      <c r="W5" s="37" t="s">
        <v>41</v>
      </c>
      <c r="X5" s="54" t="s">
        <v>36</v>
      </c>
      <c r="Y5" s="55" t="s">
        <v>40</v>
      </c>
      <c r="Z5" s="56" t="s">
        <v>41</v>
      </c>
    </row>
    <row r="6" spans="1:26" s="4" customFormat="1" ht="14.25" customHeight="1" thickTop="1">
      <c r="A6" s="107" t="s">
        <v>55</v>
      </c>
      <c r="B6" s="12" t="s">
        <v>10</v>
      </c>
      <c r="C6" s="80">
        <v>208</v>
      </c>
      <c r="D6" s="81">
        <v>122</v>
      </c>
      <c r="E6" s="86">
        <f>C6+D6</f>
        <v>330</v>
      </c>
      <c r="F6" s="79">
        <f>E6*10%</f>
        <v>33</v>
      </c>
      <c r="G6" s="80">
        <v>75</v>
      </c>
      <c r="H6" s="81">
        <v>80</v>
      </c>
      <c r="I6" s="84">
        <f aca="true" t="shared" si="0" ref="I6:I25">(G6+H6)/2</f>
        <v>77.5</v>
      </c>
      <c r="J6" s="72">
        <f>I6*30%</f>
        <v>23.25</v>
      </c>
      <c r="K6" s="102">
        <v>79</v>
      </c>
      <c r="L6" s="98">
        <v>77</v>
      </c>
      <c r="M6" s="114">
        <f>K6+L6</f>
        <v>156</v>
      </c>
      <c r="N6" s="116">
        <f>M6/2</f>
        <v>78</v>
      </c>
      <c r="O6" s="112">
        <f>N6*15%</f>
        <v>11.7</v>
      </c>
      <c r="P6" s="102">
        <v>86</v>
      </c>
      <c r="Q6" s="98">
        <v>81</v>
      </c>
      <c r="R6" s="114">
        <f>P6+Q6</f>
        <v>167</v>
      </c>
      <c r="S6" s="116">
        <f>R6/2</f>
        <v>83.5</v>
      </c>
      <c r="T6" s="112">
        <f>S6*15%</f>
        <v>12.525</v>
      </c>
      <c r="U6" s="102">
        <v>82</v>
      </c>
      <c r="V6" s="98">
        <v>81</v>
      </c>
      <c r="W6" s="100">
        <f>SUM(U6:V6)/2</f>
        <v>81.5</v>
      </c>
      <c r="X6" s="102">
        <v>74</v>
      </c>
      <c r="Y6" s="98">
        <v>73</v>
      </c>
      <c r="Z6" s="100">
        <f>SUM(X6:Y6)/2</f>
        <v>73.5</v>
      </c>
    </row>
    <row r="7" spans="1:26" s="4" customFormat="1" ht="14.25" customHeight="1" thickBot="1">
      <c r="A7" s="108"/>
      <c r="B7" s="13" t="s">
        <v>11</v>
      </c>
      <c r="C7" s="82">
        <v>192</v>
      </c>
      <c r="D7" s="83">
        <v>117</v>
      </c>
      <c r="E7" s="87">
        <f aca="true" t="shared" si="1" ref="E7:E25">C7+D7</f>
        <v>309</v>
      </c>
      <c r="F7" s="74">
        <f aca="true" t="shared" si="2" ref="F7:F25">E7*10%</f>
        <v>30.900000000000002</v>
      </c>
      <c r="G7" s="82">
        <v>79</v>
      </c>
      <c r="H7" s="83">
        <v>81</v>
      </c>
      <c r="I7" s="85">
        <f t="shared" si="0"/>
        <v>80</v>
      </c>
      <c r="J7" s="76">
        <f aca="true" t="shared" si="3" ref="J7:J25">I7*30%</f>
        <v>24</v>
      </c>
      <c r="K7" s="103"/>
      <c r="L7" s="99"/>
      <c r="M7" s="115"/>
      <c r="N7" s="117"/>
      <c r="O7" s="113"/>
      <c r="P7" s="103"/>
      <c r="Q7" s="99"/>
      <c r="R7" s="115"/>
      <c r="S7" s="117"/>
      <c r="T7" s="113"/>
      <c r="U7" s="103"/>
      <c r="V7" s="99"/>
      <c r="W7" s="101"/>
      <c r="X7" s="103"/>
      <c r="Y7" s="99"/>
      <c r="Z7" s="101"/>
    </row>
    <row r="8" spans="1:26" s="4" customFormat="1" ht="14.25" customHeight="1" thickTop="1">
      <c r="A8" s="107" t="s">
        <v>56</v>
      </c>
      <c r="B8" s="12" t="s">
        <v>10</v>
      </c>
      <c r="C8" s="80">
        <v>212</v>
      </c>
      <c r="D8" s="81">
        <v>126</v>
      </c>
      <c r="E8" s="86">
        <f t="shared" si="1"/>
        <v>338</v>
      </c>
      <c r="F8" s="73">
        <f t="shared" si="2"/>
        <v>33.800000000000004</v>
      </c>
      <c r="G8" s="80">
        <v>84</v>
      </c>
      <c r="H8" s="81">
        <v>85</v>
      </c>
      <c r="I8" s="84">
        <f t="shared" si="0"/>
        <v>84.5</v>
      </c>
      <c r="J8" s="72">
        <f t="shared" si="3"/>
        <v>25.349999999999998</v>
      </c>
      <c r="K8" s="102">
        <v>83</v>
      </c>
      <c r="L8" s="98">
        <v>81</v>
      </c>
      <c r="M8" s="114">
        <f>K8+L8</f>
        <v>164</v>
      </c>
      <c r="N8" s="116">
        <f>M8/2</f>
        <v>82</v>
      </c>
      <c r="O8" s="112">
        <f>N8*15%</f>
        <v>12.299999999999999</v>
      </c>
      <c r="P8" s="102">
        <v>88</v>
      </c>
      <c r="Q8" s="98">
        <v>85</v>
      </c>
      <c r="R8" s="114">
        <f>P8+Q8</f>
        <v>173</v>
      </c>
      <c r="S8" s="116">
        <f>R8/2</f>
        <v>86.5</v>
      </c>
      <c r="T8" s="112">
        <f>S8*15%</f>
        <v>12.975</v>
      </c>
      <c r="U8" s="102">
        <v>86</v>
      </c>
      <c r="V8" s="98">
        <v>84</v>
      </c>
      <c r="W8" s="100">
        <f>SUM(U8:V8)/2</f>
        <v>85</v>
      </c>
      <c r="X8" s="102">
        <v>83</v>
      </c>
      <c r="Y8" s="98">
        <v>80</v>
      </c>
      <c r="Z8" s="100">
        <f>SUM(X8:Y8)/2</f>
        <v>81.5</v>
      </c>
    </row>
    <row r="9" spans="1:26" s="4" customFormat="1" ht="14.25" customHeight="1" thickBot="1">
      <c r="A9" s="108"/>
      <c r="B9" s="13" t="s">
        <v>11</v>
      </c>
      <c r="C9" s="82">
        <v>204</v>
      </c>
      <c r="D9" s="83">
        <v>125</v>
      </c>
      <c r="E9" s="87">
        <f t="shared" si="1"/>
        <v>329</v>
      </c>
      <c r="F9" s="74">
        <f t="shared" si="2"/>
        <v>32.9</v>
      </c>
      <c r="G9" s="82">
        <v>82</v>
      </c>
      <c r="H9" s="83">
        <v>80</v>
      </c>
      <c r="I9" s="85">
        <f t="shared" si="0"/>
        <v>81</v>
      </c>
      <c r="J9" s="76">
        <f t="shared" si="3"/>
        <v>24.3</v>
      </c>
      <c r="K9" s="103"/>
      <c r="L9" s="99"/>
      <c r="M9" s="115"/>
      <c r="N9" s="117"/>
      <c r="O9" s="113"/>
      <c r="P9" s="103"/>
      <c r="Q9" s="99"/>
      <c r="R9" s="115"/>
      <c r="S9" s="117"/>
      <c r="T9" s="113"/>
      <c r="U9" s="103"/>
      <c r="V9" s="99"/>
      <c r="W9" s="101"/>
      <c r="X9" s="103"/>
      <c r="Y9" s="99"/>
      <c r="Z9" s="101"/>
    </row>
    <row r="10" spans="1:26" s="4" customFormat="1" ht="14.25" customHeight="1" thickTop="1">
      <c r="A10" s="107" t="s">
        <v>62</v>
      </c>
      <c r="B10" s="12" t="s">
        <v>10</v>
      </c>
      <c r="C10" s="80">
        <v>201</v>
      </c>
      <c r="D10" s="81">
        <v>115</v>
      </c>
      <c r="E10" s="86">
        <f t="shared" si="1"/>
        <v>316</v>
      </c>
      <c r="F10" s="73">
        <f t="shared" si="2"/>
        <v>31.6</v>
      </c>
      <c r="G10" s="80">
        <v>72</v>
      </c>
      <c r="H10" s="81">
        <v>78</v>
      </c>
      <c r="I10" s="84">
        <f t="shared" si="0"/>
        <v>75</v>
      </c>
      <c r="J10" s="72">
        <f t="shared" si="3"/>
        <v>22.5</v>
      </c>
      <c r="K10" s="102">
        <v>77</v>
      </c>
      <c r="L10" s="98">
        <v>75</v>
      </c>
      <c r="M10" s="114">
        <f>K10+L10</f>
        <v>152</v>
      </c>
      <c r="N10" s="116">
        <f>M10/2</f>
        <v>76</v>
      </c>
      <c r="O10" s="112">
        <f>N10*15%</f>
        <v>11.4</v>
      </c>
      <c r="P10" s="102">
        <v>82</v>
      </c>
      <c r="Q10" s="98">
        <v>78</v>
      </c>
      <c r="R10" s="114">
        <f>P10+Q10</f>
        <v>160</v>
      </c>
      <c r="S10" s="116">
        <f>R10/2</f>
        <v>80</v>
      </c>
      <c r="T10" s="112">
        <f>S10*15%</f>
        <v>12</v>
      </c>
      <c r="U10" s="102">
        <v>80</v>
      </c>
      <c r="V10" s="98">
        <v>77</v>
      </c>
      <c r="W10" s="100">
        <f>SUM(U10:V10)/2</f>
        <v>78.5</v>
      </c>
      <c r="X10" s="102">
        <v>76</v>
      </c>
      <c r="Y10" s="98">
        <v>74</v>
      </c>
      <c r="Z10" s="100">
        <f>SUM(X10:Y10)/2</f>
        <v>75</v>
      </c>
    </row>
    <row r="11" spans="1:26" s="4" customFormat="1" ht="14.25" customHeight="1" thickBot="1">
      <c r="A11" s="108"/>
      <c r="B11" s="13" t="s">
        <v>11</v>
      </c>
      <c r="C11" s="82">
        <v>186</v>
      </c>
      <c r="D11" s="83">
        <v>112</v>
      </c>
      <c r="E11" s="87">
        <f t="shared" si="1"/>
        <v>298</v>
      </c>
      <c r="F11" s="74">
        <f t="shared" si="2"/>
        <v>29.8</v>
      </c>
      <c r="G11" s="82">
        <v>80</v>
      </c>
      <c r="H11" s="83">
        <v>78</v>
      </c>
      <c r="I11" s="85">
        <f t="shared" si="0"/>
        <v>79</v>
      </c>
      <c r="J11" s="76">
        <f t="shared" si="3"/>
        <v>23.7</v>
      </c>
      <c r="K11" s="103"/>
      <c r="L11" s="99"/>
      <c r="M11" s="115"/>
      <c r="N11" s="117"/>
      <c r="O11" s="113"/>
      <c r="P11" s="103"/>
      <c r="Q11" s="99"/>
      <c r="R11" s="115"/>
      <c r="S11" s="117"/>
      <c r="T11" s="113"/>
      <c r="U11" s="103"/>
      <c r="V11" s="99"/>
      <c r="W11" s="101"/>
      <c r="X11" s="103"/>
      <c r="Y11" s="99"/>
      <c r="Z11" s="101"/>
    </row>
    <row r="12" spans="1:26" s="4" customFormat="1" ht="14.25" customHeight="1" thickTop="1">
      <c r="A12" s="107" t="s">
        <v>57</v>
      </c>
      <c r="B12" s="12" t="s">
        <v>10</v>
      </c>
      <c r="C12" s="80">
        <v>210</v>
      </c>
      <c r="D12" s="81">
        <v>124</v>
      </c>
      <c r="E12" s="86">
        <f t="shared" si="1"/>
        <v>334</v>
      </c>
      <c r="F12" s="73">
        <f t="shared" si="2"/>
        <v>33.4</v>
      </c>
      <c r="G12" s="80">
        <v>73</v>
      </c>
      <c r="H12" s="81">
        <v>75</v>
      </c>
      <c r="I12" s="84">
        <f t="shared" si="0"/>
        <v>74</v>
      </c>
      <c r="J12" s="72">
        <f t="shared" si="3"/>
        <v>22.2</v>
      </c>
      <c r="K12" s="102">
        <v>81</v>
      </c>
      <c r="L12" s="98">
        <v>80</v>
      </c>
      <c r="M12" s="114">
        <f>K12+L12</f>
        <v>161</v>
      </c>
      <c r="N12" s="116">
        <f>M12/2</f>
        <v>80.5</v>
      </c>
      <c r="O12" s="112">
        <f>N12*15%</f>
        <v>12.075</v>
      </c>
      <c r="P12" s="102">
        <v>83</v>
      </c>
      <c r="Q12" s="98">
        <v>80</v>
      </c>
      <c r="R12" s="114">
        <f>P12+Q12</f>
        <v>163</v>
      </c>
      <c r="S12" s="116">
        <f>R12/2</f>
        <v>81.5</v>
      </c>
      <c r="T12" s="112">
        <f>S12*15%</f>
        <v>12.225</v>
      </c>
      <c r="U12" s="102">
        <v>84</v>
      </c>
      <c r="V12" s="98">
        <v>80</v>
      </c>
      <c r="W12" s="100">
        <f>SUM(U12:V12)/2</f>
        <v>82</v>
      </c>
      <c r="X12" s="102">
        <v>90</v>
      </c>
      <c r="Y12" s="98">
        <v>88</v>
      </c>
      <c r="Z12" s="100">
        <f>SUM(X12:Y12)/2</f>
        <v>89</v>
      </c>
    </row>
    <row r="13" spans="1:26" s="4" customFormat="1" ht="14.25" customHeight="1" thickBot="1">
      <c r="A13" s="108"/>
      <c r="B13" s="13" t="s">
        <v>11</v>
      </c>
      <c r="C13" s="82">
        <v>197</v>
      </c>
      <c r="D13" s="83">
        <v>130</v>
      </c>
      <c r="E13" s="87">
        <f t="shared" si="1"/>
        <v>327</v>
      </c>
      <c r="F13" s="74">
        <f t="shared" si="2"/>
        <v>32.7</v>
      </c>
      <c r="G13" s="82">
        <v>84</v>
      </c>
      <c r="H13" s="83">
        <v>77</v>
      </c>
      <c r="I13" s="85">
        <f t="shared" si="0"/>
        <v>80.5</v>
      </c>
      <c r="J13" s="76">
        <f t="shared" si="3"/>
        <v>24.15</v>
      </c>
      <c r="K13" s="103"/>
      <c r="L13" s="99"/>
      <c r="M13" s="115"/>
      <c r="N13" s="117"/>
      <c r="O13" s="113"/>
      <c r="P13" s="103"/>
      <c r="Q13" s="99"/>
      <c r="R13" s="115"/>
      <c r="S13" s="117"/>
      <c r="T13" s="113"/>
      <c r="U13" s="103"/>
      <c r="V13" s="99"/>
      <c r="W13" s="101"/>
      <c r="X13" s="103"/>
      <c r="Y13" s="99"/>
      <c r="Z13" s="101"/>
    </row>
    <row r="14" spans="1:26" s="4" customFormat="1" ht="14.25" customHeight="1" thickTop="1">
      <c r="A14" s="107" t="s">
        <v>58</v>
      </c>
      <c r="B14" s="12" t="s">
        <v>10</v>
      </c>
      <c r="C14" s="80">
        <v>228</v>
      </c>
      <c r="D14" s="81">
        <v>139</v>
      </c>
      <c r="E14" s="86">
        <f t="shared" si="1"/>
        <v>367</v>
      </c>
      <c r="F14" s="73">
        <f t="shared" si="2"/>
        <v>36.7</v>
      </c>
      <c r="G14" s="80">
        <v>91</v>
      </c>
      <c r="H14" s="81">
        <v>89</v>
      </c>
      <c r="I14" s="84">
        <f t="shared" si="0"/>
        <v>90</v>
      </c>
      <c r="J14" s="72">
        <f t="shared" si="3"/>
        <v>27</v>
      </c>
      <c r="K14" s="102">
        <v>92</v>
      </c>
      <c r="L14" s="98">
        <v>90</v>
      </c>
      <c r="M14" s="114">
        <f>K14+L14</f>
        <v>182</v>
      </c>
      <c r="N14" s="116">
        <f>M14/2</f>
        <v>91</v>
      </c>
      <c r="O14" s="112">
        <f>N14*15%</f>
        <v>13.65</v>
      </c>
      <c r="P14" s="102">
        <v>95</v>
      </c>
      <c r="Q14" s="98">
        <v>90</v>
      </c>
      <c r="R14" s="114">
        <f>P14+Q14</f>
        <v>185</v>
      </c>
      <c r="S14" s="116">
        <f>R14/2</f>
        <v>92.5</v>
      </c>
      <c r="T14" s="112">
        <f>S14*15%</f>
        <v>13.875</v>
      </c>
      <c r="U14" s="102">
        <v>93</v>
      </c>
      <c r="V14" s="98">
        <v>91</v>
      </c>
      <c r="W14" s="100">
        <f>SUM(U14:V14)/2</f>
        <v>92</v>
      </c>
      <c r="X14" s="102">
        <v>93</v>
      </c>
      <c r="Y14" s="98">
        <v>90</v>
      </c>
      <c r="Z14" s="100">
        <f>SUM(X14:Y14)/2</f>
        <v>91.5</v>
      </c>
    </row>
    <row r="15" spans="1:26" s="4" customFormat="1" ht="14.25" customHeight="1" thickBot="1">
      <c r="A15" s="108"/>
      <c r="B15" s="13" t="s">
        <v>11</v>
      </c>
      <c r="C15" s="82">
        <v>223</v>
      </c>
      <c r="D15" s="83">
        <v>137</v>
      </c>
      <c r="E15" s="87">
        <f t="shared" si="1"/>
        <v>360</v>
      </c>
      <c r="F15" s="74">
        <f t="shared" si="2"/>
        <v>36</v>
      </c>
      <c r="G15" s="82">
        <v>88</v>
      </c>
      <c r="H15" s="83">
        <v>85</v>
      </c>
      <c r="I15" s="85">
        <f t="shared" si="0"/>
        <v>86.5</v>
      </c>
      <c r="J15" s="76">
        <f t="shared" si="3"/>
        <v>25.95</v>
      </c>
      <c r="K15" s="103"/>
      <c r="L15" s="99"/>
      <c r="M15" s="115"/>
      <c r="N15" s="117"/>
      <c r="O15" s="113"/>
      <c r="P15" s="103"/>
      <c r="Q15" s="99"/>
      <c r="R15" s="115"/>
      <c r="S15" s="117"/>
      <c r="T15" s="113"/>
      <c r="U15" s="103"/>
      <c r="V15" s="99"/>
      <c r="W15" s="101"/>
      <c r="X15" s="103"/>
      <c r="Y15" s="99"/>
      <c r="Z15" s="101"/>
    </row>
    <row r="16" spans="1:26" s="4" customFormat="1" ht="14.25" customHeight="1" thickTop="1">
      <c r="A16" s="107" t="s">
        <v>59</v>
      </c>
      <c r="B16" s="12" t="s">
        <v>10</v>
      </c>
      <c r="C16" s="80">
        <v>221</v>
      </c>
      <c r="D16" s="81">
        <v>133</v>
      </c>
      <c r="E16" s="86">
        <f t="shared" si="1"/>
        <v>354</v>
      </c>
      <c r="F16" s="73">
        <f t="shared" si="2"/>
        <v>35.4</v>
      </c>
      <c r="G16" s="80">
        <v>90</v>
      </c>
      <c r="H16" s="81">
        <v>87</v>
      </c>
      <c r="I16" s="84">
        <f t="shared" si="0"/>
        <v>88.5</v>
      </c>
      <c r="J16" s="72">
        <f t="shared" si="3"/>
        <v>26.55</v>
      </c>
      <c r="K16" s="102">
        <v>84</v>
      </c>
      <c r="L16" s="98">
        <v>84</v>
      </c>
      <c r="M16" s="114">
        <f>K16+L16</f>
        <v>168</v>
      </c>
      <c r="N16" s="116">
        <f>M16/2</f>
        <v>84</v>
      </c>
      <c r="O16" s="112">
        <f>N16*15%</f>
        <v>12.6</v>
      </c>
      <c r="P16" s="102">
        <v>92</v>
      </c>
      <c r="Q16" s="98">
        <v>88</v>
      </c>
      <c r="R16" s="114">
        <f>P16+Q16</f>
        <v>180</v>
      </c>
      <c r="S16" s="116">
        <f>R16/2</f>
        <v>90</v>
      </c>
      <c r="T16" s="112">
        <f>S16*15%</f>
        <v>13.5</v>
      </c>
      <c r="U16" s="102">
        <v>91</v>
      </c>
      <c r="V16" s="98">
        <v>89</v>
      </c>
      <c r="W16" s="100">
        <f>SUM(U16:V16)/2</f>
        <v>90</v>
      </c>
      <c r="X16" s="102">
        <v>77</v>
      </c>
      <c r="Y16" s="98">
        <v>76</v>
      </c>
      <c r="Z16" s="100">
        <f>SUM(X16:Y16)/2</f>
        <v>76.5</v>
      </c>
    </row>
    <row r="17" spans="1:26" s="4" customFormat="1" ht="14.25" customHeight="1" thickBot="1">
      <c r="A17" s="108"/>
      <c r="B17" s="13" t="s">
        <v>11</v>
      </c>
      <c r="C17" s="82">
        <v>223</v>
      </c>
      <c r="D17" s="83">
        <v>136</v>
      </c>
      <c r="E17" s="87">
        <f t="shared" si="1"/>
        <v>359</v>
      </c>
      <c r="F17" s="74">
        <f t="shared" si="2"/>
        <v>35.9</v>
      </c>
      <c r="G17" s="82">
        <v>90</v>
      </c>
      <c r="H17" s="83">
        <v>86</v>
      </c>
      <c r="I17" s="85">
        <f t="shared" si="0"/>
        <v>88</v>
      </c>
      <c r="J17" s="76">
        <f t="shared" si="3"/>
        <v>26.4</v>
      </c>
      <c r="K17" s="103"/>
      <c r="L17" s="99"/>
      <c r="M17" s="115"/>
      <c r="N17" s="117"/>
      <c r="O17" s="113"/>
      <c r="P17" s="103"/>
      <c r="Q17" s="99"/>
      <c r="R17" s="115"/>
      <c r="S17" s="117"/>
      <c r="T17" s="113"/>
      <c r="U17" s="103"/>
      <c r="V17" s="99"/>
      <c r="W17" s="101"/>
      <c r="X17" s="103"/>
      <c r="Y17" s="99"/>
      <c r="Z17" s="101"/>
    </row>
    <row r="18" spans="1:26" s="4" customFormat="1" ht="14.25" customHeight="1" thickTop="1">
      <c r="A18" s="107" t="s">
        <v>60</v>
      </c>
      <c r="B18" s="12" t="s">
        <v>10</v>
      </c>
      <c r="C18" s="80">
        <v>218</v>
      </c>
      <c r="D18" s="81">
        <v>130</v>
      </c>
      <c r="E18" s="86">
        <f t="shared" si="1"/>
        <v>348</v>
      </c>
      <c r="F18" s="73">
        <f t="shared" si="2"/>
        <v>34.800000000000004</v>
      </c>
      <c r="G18" s="80">
        <v>82</v>
      </c>
      <c r="H18" s="81">
        <v>84</v>
      </c>
      <c r="I18" s="84">
        <f t="shared" si="0"/>
        <v>83</v>
      </c>
      <c r="J18" s="72">
        <f t="shared" si="3"/>
        <v>24.9</v>
      </c>
      <c r="K18" s="102">
        <v>82</v>
      </c>
      <c r="L18" s="98">
        <v>81</v>
      </c>
      <c r="M18" s="114">
        <f>K18+L18</f>
        <v>163</v>
      </c>
      <c r="N18" s="116">
        <f>M18/2</f>
        <v>81.5</v>
      </c>
      <c r="O18" s="112">
        <f>N18*15%</f>
        <v>12.225</v>
      </c>
      <c r="P18" s="102">
        <v>93</v>
      </c>
      <c r="Q18" s="98">
        <v>89</v>
      </c>
      <c r="R18" s="114">
        <f>P18+Q18</f>
        <v>182</v>
      </c>
      <c r="S18" s="116">
        <f>R18/2</f>
        <v>91</v>
      </c>
      <c r="T18" s="112">
        <f>S18*15%</f>
        <v>13.65</v>
      </c>
      <c r="U18" s="102">
        <v>94</v>
      </c>
      <c r="V18" s="98">
        <v>95</v>
      </c>
      <c r="W18" s="100">
        <f>SUM(U18:V18)/2</f>
        <v>94.5</v>
      </c>
      <c r="X18" s="102">
        <v>89</v>
      </c>
      <c r="Y18" s="98">
        <v>87</v>
      </c>
      <c r="Z18" s="100">
        <f>SUM(X18:Y18)/2</f>
        <v>88</v>
      </c>
    </row>
    <row r="19" spans="1:26" s="4" customFormat="1" ht="14.25" customHeight="1" thickBot="1">
      <c r="A19" s="108"/>
      <c r="B19" s="13" t="s">
        <v>11</v>
      </c>
      <c r="C19" s="82">
        <v>200</v>
      </c>
      <c r="D19" s="83">
        <v>131</v>
      </c>
      <c r="E19" s="87">
        <f t="shared" si="1"/>
        <v>331</v>
      </c>
      <c r="F19" s="74">
        <f t="shared" si="2"/>
        <v>33.1</v>
      </c>
      <c r="G19" s="82">
        <v>85</v>
      </c>
      <c r="H19" s="83">
        <v>82</v>
      </c>
      <c r="I19" s="85">
        <f t="shared" si="0"/>
        <v>83.5</v>
      </c>
      <c r="J19" s="76">
        <f t="shared" si="3"/>
        <v>25.05</v>
      </c>
      <c r="K19" s="103"/>
      <c r="L19" s="99"/>
      <c r="M19" s="115"/>
      <c r="N19" s="117"/>
      <c r="O19" s="113"/>
      <c r="P19" s="103"/>
      <c r="Q19" s="99"/>
      <c r="R19" s="115"/>
      <c r="S19" s="117"/>
      <c r="T19" s="113"/>
      <c r="U19" s="103"/>
      <c r="V19" s="99"/>
      <c r="W19" s="101"/>
      <c r="X19" s="103"/>
      <c r="Y19" s="99"/>
      <c r="Z19" s="101"/>
    </row>
    <row r="20" spans="1:26" s="4" customFormat="1" ht="14.25" customHeight="1" thickTop="1">
      <c r="A20" s="107" t="s">
        <v>61</v>
      </c>
      <c r="B20" s="12" t="s">
        <v>10</v>
      </c>
      <c r="C20" s="80">
        <v>211</v>
      </c>
      <c r="D20" s="81">
        <v>125</v>
      </c>
      <c r="E20" s="86">
        <f t="shared" si="1"/>
        <v>336</v>
      </c>
      <c r="F20" s="73">
        <f t="shared" si="2"/>
        <v>33.6</v>
      </c>
      <c r="G20" s="80">
        <v>80</v>
      </c>
      <c r="H20" s="81">
        <v>83</v>
      </c>
      <c r="I20" s="84">
        <f t="shared" si="0"/>
        <v>81.5</v>
      </c>
      <c r="J20" s="72">
        <f t="shared" si="3"/>
        <v>24.45</v>
      </c>
      <c r="K20" s="102">
        <v>77</v>
      </c>
      <c r="L20" s="98">
        <v>76</v>
      </c>
      <c r="M20" s="114">
        <f>K20+L20</f>
        <v>153</v>
      </c>
      <c r="N20" s="116">
        <f>M20/2</f>
        <v>76.5</v>
      </c>
      <c r="O20" s="112">
        <f>N20*15%</f>
        <v>11.475</v>
      </c>
      <c r="P20" s="102">
        <v>90</v>
      </c>
      <c r="Q20" s="98">
        <v>86</v>
      </c>
      <c r="R20" s="114">
        <f>P20+Q20</f>
        <v>176</v>
      </c>
      <c r="S20" s="116">
        <f>R20/2</f>
        <v>88</v>
      </c>
      <c r="T20" s="112">
        <f>S20*15%</f>
        <v>13.2</v>
      </c>
      <c r="U20" s="102">
        <v>88</v>
      </c>
      <c r="V20" s="98">
        <v>87</v>
      </c>
      <c r="W20" s="100">
        <f>SUM(U20:V20)/2</f>
        <v>87.5</v>
      </c>
      <c r="X20" s="102">
        <v>91</v>
      </c>
      <c r="Y20" s="98">
        <v>89</v>
      </c>
      <c r="Z20" s="100">
        <f>SUM(X20:Y20)/2</f>
        <v>90</v>
      </c>
    </row>
    <row r="21" spans="1:26" s="4" customFormat="1" ht="14.25" customHeight="1" thickBot="1">
      <c r="A21" s="108"/>
      <c r="B21" s="13" t="s">
        <v>11</v>
      </c>
      <c r="C21" s="82">
        <v>191</v>
      </c>
      <c r="D21" s="83">
        <v>120</v>
      </c>
      <c r="E21" s="87">
        <f t="shared" si="1"/>
        <v>311</v>
      </c>
      <c r="F21" s="74">
        <f t="shared" si="2"/>
        <v>31.1</v>
      </c>
      <c r="G21" s="82">
        <v>86</v>
      </c>
      <c r="H21" s="83">
        <v>84</v>
      </c>
      <c r="I21" s="85">
        <f t="shared" si="0"/>
        <v>85</v>
      </c>
      <c r="J21" s="76">
        <f t="shared" si="3"/>
        <v>25.5</v>
      </c>
      <c r="K21" s="103"/>
      <c r="L21" s="99"/>
      <c r="M21" s="115"/>
      <c r="N21" s="117"/>
      <c r="O21" s="113"/>
      <c r="P21" s="103"/>
      <c r="Q21" s="99"/>
      <c r="R21" s="115"/>
      <c r="S21" s="117"/>
      <c r="T21" s="113"/>
      <c r="U21" s="103"/>
      <c r="V21" s="99"/>
      <c r="W21" s="101"/>
      <c r="X21" s="103"/>
      <c r="Y21" s="99"/>
      <c r="Z21" s="101"/>
    </row>
    <row r="22" spans="1:26" s="4" customFormat="1" ht="14.25" customHeight="1" hidden="1" thickTop="1">
      <c r="A22" s="107"/>
      <c r="B22" s="12" t="s">
        <v>10</v>
      </c>
      <c r="C22" s="80"/>
      <c r="D22" s="81"/>
      <c r="E22" s="86">
        <f t="shared" si="1"/>
        <v>0</v>
      </c>
      <c r="F22" s="73">
        <f t="shared" si="2"/>
        <v>0</v>
      </c>
      <c r="G22" s="80"/>
      <c r="H22" s="81"/>
      <c r="I22" s="84">
        <f t="shared" si="0"/>
        <v>0</v>
      </c>
      <c r="J22" s="72">
        <f t="shared" si="3"/>
        <v>0</v>
      </c>
      <c r="K22" s="102"/>
      <c r="L22" s="98"/>
      <c r="M22" s="114">
        <f>K22+L22</f>
        <v>0</v>
      </c>
      <c r="N22" s="116">
        <f>M22/2</f>
        <v>0</v>
      </c>
      <c r="O22" s="112">
        <f>N22*15%</f>
        <v>0</v>
      </c>
      <c r="P22" s="102"/>
      <c r="Q22" s="98"/>
      <c r="R22" s="114">
        <f>P22+Q22</f>
        <v>0</v>
      </c>
      <c r="S22" s="116">
        <f>R22/2</f>
        <v>0</v>
      </c>
      <c r="T22" s="112">
        <f>S22*15%</f>
        <v>0</v>
      </c>
      <c r="U22" s="102"/>
      <c r="V22" s="98"/>
      <c r="W22" s="100">
        <f>SUM(U22:V22)/2</f>
        <v>0</v>
      </c>
      <c r="X22" s="102"/>
      <c r="Y22" s="98"/>
      <c r="Z22" s="100">
        <f>SUM(X22:Y22)/2</f>
        <v>0</v>
      </c>
    </row>
    <row r="23" spans="1:26" s="4" customFormat="1" ht="14.25" customHeight="1" hidden="1" thickBot="1">
      <c r="A23" s="108"/>
      <c r="B23" s="13" t="s">
        <v>11</v>
      </c>
      <c r="C23" s="82"/>
      <c r="D23" s="83"/>
      <c r="E23" s="87">
        <f t="shared" si="1"/>
        <v>0</v>
      </c>
      <c r="F23" s="74">
        <f t="shared" si="2"/>
        <v>0</v>
      </c>
      <c r="G23" s="82"/>
      <c r="H23" s="83"/>
      <c r="I23" s="85">
        <f t="shared" si="0"/>
        <v>0</v>
      </c>
      <c r="J23" s="76">
        <f t="shared" si="3"/>
        <v>0</v>
      </c>
      <c r="K23" s="103"/>
      <c r="L23" s="99"/>
      <c r="M23" s="115"/>
      <c r="N23" s="117"/>
      <c r="O23" s="113"/>
      <c r="P23" s="103"/>
      <c r="Q23" s="99"/>
      <c r="R23" s="115"/>
      <c r="S23" s="117"/>
      <c r="T23" s="113"/>
      <c r="U23" s="103"/>
      <c r="V23" s="99"/>
      <c r="W23" s="101"/>
      <c r="X23" s="103"/>
      <c r="Y23" s="99"/>
      <c r="Z23" s="101"/>
    </row>
    <row r="24" spans="1:26" s="4" customFormat="1" ht="14.25" customHeight="1" hidden="1" thickTop="1">
      <c r="A24" s="107"/>
      <c r="B24" s="12" t="s">
        <v>10</v>
      </c>
      <c r="C24" s="80"/>
      <c r="D24" s="81"/>
      <c r="E24" s="86">
        <f t="shared" si="1"/>
        <v>0</v>
      </c>
      <c r="F24" s="73">
        <f t="shared" si="2"/>
        <v>0</v>
      </c>
      <c r="G24" s="80"/>
      <c r="H24" s="81"/>
      <c r="I24" s="84">
        <f t="shared" si="0"/>
        <v>0</v>
      </c>
      <c r="J24" s="72">
        <f t="shared" si="3"/>
        <v>0</v>
      </c>
      <c r="K24" s="102"/>
      <c r="L24" s="98"/>
      <c r="M24" s="114">
        <f>K24+L24</f>
        <v>0</v>
      </c>
      <c r="N24" s="116">
        <f>M24/2</f>
        <v>0</v>
      </c>
      <c r="O24" s="112">
        <f>N24*15%</f>
        <v>0</v>
      </c>
      <c r="P24" s="102"/>
      <c r="Q24" s="98"/>
      <c r="R24" s="114">
        <f>P24+Q24</f>
        <v>0</v>
      </c>
      <c r="S24" s="116">
        <f>R24/2</f>
        <v>0</v>
      </c>
      <c r="T24" s="112">
        <f>S24*15%</f>
        <v>0</v>
      </c>
      <c r="U24" s="102"/>
      <c r="V24" s="98"/>
      <c r="W24" s="100">
        <f>SUM(U24:V24)/2</f>
        <v>0</v>
      </c>
      <c r="X24" s="102"/>
      <c r="Y24" s="98"/>
      <c r="Z24" s="100">
        <f>SUM(X24:Y24)/2</f>
        <v>0</v>
      </c>
    </row>
    <row r="25" spans="1:26" s="4" customFormat="1" ht="14.25" customHeight="1" hidden="1" thickBot="1">
      <c r="A25" s="108"/>
      <c r="B25" s="13" t="s">
        <v>11</v>
      </c>
      <c r="C25" s="82"/>
      <c r="D25" s="83"/>
      <c r="E25" s="87">
        <f t="shared" si="1"/>
        <v>0</v>
      </c>
      <c r="F25" s="74">
        <f t="shared" si="2"/>
        <v>0</v>
      </c>
      <c r="G25" s="82"/>
      <c r="H25" s="83"/>
      <c r="I25" s="85">
        <f t="shared" si="0"/>
        <v>0</v>
      </c>
      <c r="J25" s="76">
        <f t="shared" si="3"/>
        <v>0</v>
      </c>
      <c r="K25" s="103"/>
      <c r="L25" s="99"/>
      <c r="M25" s="115"/>
      <c r="N25" s="117"/>
      <c r="O25" s="113"/>
      <c r="P25" s="103"/>
      <c r="Q25" s="99"/>
      <c r="R25" s="115"/>
      <c r="S25" s="117"/>
      <c r="T25" s="113"/>
      <c r="U25" s="103"/>
      <c r="V25" s="99"/>
      <c r="W25" s="101"/>
      <c r="X25" s="103"/>
      <c r="Y25" s="99"/>
      <c r="Z25" s="101"/>
    </row>
    <row r="26" ht="13.5" thickTop="1"/>
  </sheetData>
  <sheetProtection sheet="1" objects="1" scenarios="1" selectLockedCells="1"/>
  <mergeCells count="177">
    <mergeCell ref="P20:P21"/>
    <mergeCell ref="Q20:Q21"/>
    <mergeCell ref="Q24:Q25"/>
    <mergeCell ref="T24:T25"/>
    <mergeCell ref="R24:R25"/>
    <mergeCell ref="S24:S25"/>
    <mergeCell ref="P22:P23"/>
    <mergeCell ref="Q22:Q23"/>
    <mergeCell ref="T22:T23"/>
    <mergeCell ref="P24:P25"/>
    <mergeCell ref="R20:R21"/>
    <mergeCell ref="R22:R23"/>
    <mergeCell ref="S20:S21"/>
    <mergeCell ref="S22:S23"/>
    <mergeCell ref="T20:T21"/>
    <mergeCell ref="Q16:Q17"/>
    <mergeCell ref="T16:T17"/>
    <mergeCell ref="P18:P19"/>
    <mergeCell ref="Q18:Q19"/>
    <mergeCell ref="T18:T19"/>
    <mergeCell ref="R16:R17"/>
    <mergeCell ref="R18:R19"/>
    <mergeCell ref="S16:S17"/>
    <mergeCell ref="S18:S19"/>
    <mergeCell ref="P16:P17"/>
    <mergeCell ref="Q12:Q13"/>
    <mergeCell ref="T12:T13"/>
    <mergeCell ref="P14:P15"/>
    <mergeCell ref="Q14:Q15"/>
    <mergeCell ref="T14:T15"/>
    <mergeCell ref="R12:R13"/>
    <mergeCell ref="R14:R15"/>
    <mergeCell ref="S12:S13"/>
    <mergeCell ref="S14:S15"/>
    <mergeCell ref="P12:P13"/>
    <mergeCell ref="T8:T9"/>
    <mergeCell ref="P10:P11"/>
    <mergeCell ref="Q10:Q11"/>
    <mergeCell ref="T10:T11"/>
    <mergeCell ref="R8:R9"/>
    <mergeCell ref="R10:R11"/>
    <mergeCell ref="S8:S9"/>
    <mergeCell ref="S10:S11"/>
    <mergeCell ref="Q8:Q9"/>
    <mergeCell ref="K22:K23"/>
    <mergeCell ref="L22:L23"/>
    <mergeCell ref="O22:O23"/>
    <mergeCell ref="K24:K25"/>
    <mergeCell ref="L24:L25"/>
    <mergeCell ref="O24:O25"/>
    <mergeCell ref="M22:M23"/>
    <mergeCell ref="M24:M25"/>
    <mergeCell ref="N22:N23"/>
    <mergeCell ref="N24:N25"/>
    <mergeCell ref="K18:K19"/>
    <mergeCell ref="L18:L19"/>
    <mergeCell ref="O18:O19"/>
    <mergeCell ref="K20:K21"/>
    <mergeCell ref="L20:L21"/>
    <mergeCell ref="O20:O21"/>
    <mergeCell ref="M18:M19"/>
    <mergeCell ref="M20:M21"/>
    <mergeCell ref="N18:N19"/>
    <mergeCell ref="N20:N21"/>
    <mergeCell ref="K14:K15"/>
    <mergeCell ref="L14:L15"/>
    <mergeCell ref="O14:O15"/>
    <mergeCell ref="K16:K17"/>
    <mergeCell ref="L16:L17"/>
    <mergeCell ref="O16:O17"/>
    <mergeCell ref="M14:M15"/>
    <mergeCell ref="M16:M17"/>
    <mergeCell ref="N14:N15"/>
    <mergeCell ref="N16:N17"/>
    <mergeCell ref="K10:K11"/>
    <mergeCell ref="L10:L11"/>
    <mergeCell ref="O10:O11"/>
    <mergeCell ref="K12:K13"/>
    <mergeCell ref="L12:L13"/>
    <mergeCell ref="O12:O13"/>
    <mergeCell ref="M10:M11"/>
    <mergeCell ref="M12:M13"/>
    <mergeCell ref="N10:N11"/>
    <mergeCell ref="N12:N13"/>
    <mergeCell ref="S6:S7"/>
    <mergeCell ref="K8:K9"/>
    <mergeCell ref="L8:L9"/>
    <mergeCell ref="O8:O9"/>
    <mergeCell ref="P6:P7"/>
    <mergeCell ref="M6:M7"/>
    <mergeCell ref="M8:M9"/>
    <mergeCell ref="N8:N9"/>
    <mergeCell ref="P8:P9"/>
    <mergeCell ref="G4:J4"/>
    <mergeCell ref="K4:O4"/>
    <mergeCell ref="U4:W4"/>
    <mergeCell ref="A10:A11"/>
    <mergeCell ref="A4:A5"/>
    <mergeCell ref="P4:T4"/>
    <mergeCell ref="K6:K7"/>
    <mergeCell ref="L6:L7"/>
    <mergeCell ref="O6:O7"/>
    <mergeCell ref="Q6:Q7"/>
    <mergeCell ref="A12:A13"/>
    <mergeCell ref="U6:U7"/>
    <mergeCell ref="V6:V7"/>
    <mergeCell ref="W6:W7"/>
    <mergeCell ref="U10:U11"/>
    <mergeCell ref="V10:V11"/>
    <mergeCell ref="W10:W11"/>
    <mergeCell ref="T6:T7"/>
    <mergeCell ref="R6:R7"/>
    <mergeCell ref="N6:N7"/>
    <mergeCell ref="X4:Z4"/>
    <mergeCell ref="A22:A23"/>
    <mergeCell ref="A24:A25"/>
    <mergeCell ref="C4:F4"/>
    <mergeCell ref="A14:A15"/>
    <mergeCell ref="A16:A17"/>
    <mergeCell ref="A18:A19"/>
    <mergeCell ref="A20:A21"/>
    <mergeCell ref="A6:A7"/>
    <mergeCell ref="A8:A9"/>
    <mergeCell ref="X6:X7"/>
    <mergeCell ref="Y6:Y7"/>
    <mergeCell ref="Z6:Z7"/>
    <mergeCell ref="U8:U9"/>
    <mergeCell ref="V8:V9"/>
    <mergeCell ref="W8:W9"/>
    <mergeCell ref="X8:X9"/>
    <mergeCell ref="Y8:Y9"/>
    <mergeCell ref="Z8:Z9"/>
    <mergeCell ref="X10:X11"/>
    <mergeCell ref="Y14:Y15"/>
    <mergeCell ref="Z14:Z15"/>
    <mergeCell ref="U12:U13"/>
    <mergeCell ref="V12:V13"/>
    <mergeCell ref="W12:W13"/>
    <mergeCell ref="X12:X13"/>
    <mergeCell ref="Y10:Y11"/>
    <mergeCell ref="Z10:Z11"/>
    <mergeCell ref="Y12:Y13"/>
    <mergeCell ref="Z12:Z13"/>
    <mergeCell ref="Y16:Y17"/>
    <mergeCell ref="Z16:Z17"/>
    <mergeCell ref="U14:U15"/>
    <mergeCell ref="V14:V15"/>
    <mergeCell ref="U16:U17"/>
    <mergeCell ref="V16:V17"/>
    <mergeCell ref="W16:W17"/>
    <mergeCell ref="X16:X17"/>
    <mergeCell ref="W14:W15"/>
    <mergeCell ref="X14:X15"/>
    <mergeCell ref="U18:U19"/>
    <mergeCell ref="V18:V19"/>
    <mergeCell ref="W18:W19"/>
    <mergeCell ref="X18:X19"/>
    <mergeCell ref="Y18:Y19"/>
    <mergeCell ref="Z18:Z19"/>
    <mergeCell ref="Y20:Y21"/>
    <mergeCell ref="Z20:Z21"/>
    <mergeCell ref="Z22:Z23"/>
    <mergeCell ref="U20:U21"/>
    <mergeCell ref="V20:V21"/>
    <mergeCell ref="W20:W21"/>
    <mergeCell ref="X20:X21"/>
    <mergeCell ref="Y22:Y23"/>
    <mergeCell ref="Y24:Y25"/>
    <mergeCell ref="Z24:Z25"/>
    <mergeCell ref="U22:U23"/>
    <mergeCell ref="V22:V23"/>
    <mergeCell ref="U24:U25"/>
    <mergeCell ref="V24:V25"/>
    <mergeCell ref="W24:W25"/>
    <mergeCell ref="X24:X25"/>
    <mergeCell ref="W22:W23"/>
    <mergeCell ref="X22:X23"/>
  </mergeCells>
  <printOptions horizontalCentered="1" verticalCentered="1"/>
  <pageMargins left="0" right="0" top="0" bottom="0" header="0.5" footer="0.5"/>
  <pageSetup fitToHeight="1" fitToWidth="1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20.7109375" style="1" customWidth="1"/>
    <col min="2" max="2" width="12.8515625" style="1" customWidth="1"/>
    <col min="3" max="3" width="5.7109375" style="1" customWidth="1"/>
    <col min="4" max="4" width="12.7109375" style="1" customWidth="1"/>
    <col min="5" max="5" width="5.7109375" style="1" customWidth="1"/>
    <col min="6" max="6" width="12.7109375" style="1" customWidth="1"/>
    <col min="7" max="7" width="5.7109375" style="1" customWidth="1"/>
    <col min="8" max="10" width="17.7109375" style="1" customWidth="1"/>
    <col min="11" max="19" width="12.7109375" style="1" customWidth="1"/>
    <col min="20" max="20" width="9.7109375" style="1" customWidth="1"/>
    <col min="21" max="16384" width="9.140625" style="1" customWidth="1"/>
  </cols>
  <sheetData>
    <row r="1" spans="1:20" ht="24.75">
      <c r="A1" s="144" t="str">
        <f>Scores!A1</f>
        <v>2009 MHSAA-MBA STATE MARCHING BAND CHAMPIONSHIP - FINALS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24"/>
      <c r="Q1" s="6"/>
      <c r="R1" s="6"/>
      <c r="S1" s="6"/>
      <c r="T1" s="6"/>
    </row>
    <row r="2" spans="1:20" ht="22.5">
      <c r="A2" s="145" t="str">
        <f>Scores!A2</f>
        <v>October 24, 2009 - Pearl, MS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25"/>
      <c r="Q2" s="7"/>
      <c r="R2" s="7"/>
      <c r="S2" s="7"/>
      <c r="T2" s="7"/>
    </row>
    <row r="3" spans="1:20" s="3" customFormat="1" ht="24" customHeight="1" thickBot="1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32"/>
      <c r="L3" s="32"/>
      <c r="M3" s="32"/>
      <c r="N3" s="23"/>
      <c r="O3" s="23"/>
      <c r="P3" s="23"/>
      <c r="Q3" s="8"/>
      <c r="R3" s="8"/>
      <c r="S3" s="8"/>
      <c r="T3" s="8"/>
    </row>
    <row r="4" spans="1:15" ht="18" customHeight="1" thickTop="1">
      <c r="A4" s="146" t="s">
        <v>1</v>
      </c>
      <c r="B4" s="148" t="s">
        <v>2</v>
      </c>
      <c r="C4" s="150"/>
      <c r="D4" s="150"/>
      <c r="E4" s="149"/>
      <c r="F4" s="148" t="s">
        <v>29</v>
      </c>
      <c r="G4" s="150"/>
      <c r="H4" s="150"/>
      <c r="I4" s="148" t="s">
        <v>3</v>
      </c>
      <c r="J4" s="149"/>
      <c r="K4" s="33"/>
      <c r="L4" s="135" t="str">
        <f>Scores!A3</f>
        <v>CLASS 4A</v>
      </c>
      <c r="M4" s="136"/>
      <c r="N4" s="136"/>
      <c r="O4" s="137"/>
    </row>
    <row r="5" spans="1:15" ht="18" customHeight="1" thickBot="1">
      <c r="A5" s="147"/>
      <c r="B5" s="125" t="s">
        <v>5</v>
      </c>
      <c r="C5" s="126"/>
      <c r="D5" s="129" t="s">
        <v>6</v>
      </c>
      <c r="E5" s="130"/>
      <c r="F5" s="125" t="s">
        <v>5</v>
      </c>
      <c r="G5" s="126"/>
      <c r="H5" s="15" t="s">
        <v>11</v>
      </c>
      <c r="I5" s="2" t="s">
        <v>2</v>
      </c>
      <c r="J5" s="19" t="s">
        <v>29</v>
      </c>
      <c r="K5" s="33"/>
      <c r="L5" s="138"/>
      <c r="M5" s="139"/>
      <c r="N5" s="139"/>
      <c r="O5" s="140"/>
    </row>
    <row r="6" spans="1:15" ht="24.75" customHeight="1" thickBot="1" thickTop="1">
      <c r="A6" s="10" t="str">
        <f>IF(Scores!A6="",0,Scores!A6)</f>
        <v>New Albany</v>
      </c>
      <c r="B6" s="127">
        <f>Scores!F6</f>
        <v>33</v>
      </c>
      <c r="C6" s="128"/>
      <c r="D6" s="123">
        <f>Scores!F7</f>
        <v>30.900000000000002</v>
      </c>
      <c r="E6" s="124"/>
      <c r="F6" s="127">
        <f>Scores!J6</f>
        <v>23.25</v>
      </c>
      <c r="G6" s="128"/>
      <c r="H6" s="91">
        <f>Scores!J7</f>
        <v>24</v>
      </c>
      <c r="I6" s="92">
        <f>Scores!O6</f>
        <v>11.7</v>
      </c>
      <c r="J6" s="93">
        <f>Scores!T6</f>
        <v>12.525</v>
      </c>
      <c r="K6" s="33"/>
      <c r="L6" s="138"/>
      <c r="M6" s="139"/>
      <c r="N6" s="139"/>
      <c r="O6" s="140"/>
    </row>
    <row r="7" spans="1:15" ht="24.75" customHeight="1" thickBot="1" thickTop="1">
      <c r="A7" s="10" t="str">
        <f>IF(Scores!A8="",0,Scores!A8)</f>
        <v>Pontotoc</v>
      </c>
      <c r="B7" s="127">
        <f>Scores!F8</f>
        <v>33.800000000000004</v>
      </c>
      <c r="C7" s="128"/>
      <c r="D7" s="123">
        <f>Scores!F9</f>
        <v>32.9</v>
      </c>
      <c r="E7" s="124"/>
      <c r="F7" s="127">
        <f>Scores!J8</f>
        <v>25.349999999999998</v>
      </c>
      <c r="G7" s="128"/>
      <c r="H7" s="91">
        <f>Scores!J9</f>
        <v>24.3</v>
      </c>
      <c r="I7" s="92">
        <f>Scores!O8</f>
        <v>12.299999999999999</v>
      </c>
      <c r="J7" s="93">
        <f>Scores!T8</f>
        <v>12.975</v>
      </c>
      <c r="K7" s="33"/>
      <c r="L7" s="138"/>
      <c r="M7" s="139"/>
      <c r="N7" s="139"/>
      <c r="O7" s="140"/>
    </row>
    <row r="8" spans="1:15" ht="24.75" customHeight="1" thickBot="1" thickTop="1">
      <c r="A8" s="10" t="str">
        <f>IF(Scores!A10="",0,Scores!A10)</f>
        <v>Cleveland</v>
      </c>
      <c r="B8" s="127">
        <f>Scores!F10</f>
        <v>31.6</v>
      </c>
      <c r="C8" s="128"/>
      <c r="D8" s="123">
        <f>Scores!F11</f>
        <v>29.8</v>
      </c>
      <c r="E8" s="124"/>
      <c r="F8" s="127">
        <f>Scores!J10</f>
        <v>22.5</v>
      </c>
      <c r="G8" s="128"/>
      <c r="H8" s="91">
        <f>Scores!J11</f>
        <v>23.7</v>
      </c>
      <c r="I8" s="92">
        <f>Scores!O10</f>
        <v>11.4</v>
      </c>
      <c r="J8" s="93">
        <f>Scores!T10</f>
        <v>12</v>
      </c>
      <c r="K8" s="33"/>
      <c r="L8" s="138"/>
      <c r="M8" s="139"/>
      <c r="N8" s="139"/>
      <c r="O8" s="140"/>
    </row>
    <row r="9" spans="1:15" ht="24.75" customHeight="1" thickBot="1" thickTop="1">
      <c r="A9" s="10" t="str">
        <f>IF(Scores!A12="",0,Scores!A12)</f>
        <v>Kosciusko</v>
      </c>
      <c r="B9" s="127">
        <f>Scores!F12</f>
        <v>33.4</v>
      </c>
      <c r="C9" s="128"/>
      <c r="D9" s="123">
        <f>Scores!F13</f>
        <v>32.7</v>
      </c>
      <c r="E9" s="124"/>
      <c r="F9" s="127">
        <f>Scores!J12</f>
        <v>22.2</v>
      </c>
      <c r="G9" s="128"/>
      <c r="H9" s="91">
        <f>Scores!J13</f>
        <v>24.15</v>
      </c>
      <c r="I9" s="92">
        <f>Scores!O12</f>
        <v>12.075</v>
      </c>
      <c r="J9" s="93">
        <f>Scores!T12</f>
        <v>12.225</v>
      </c>
      <c r="K9" s="33"/>
      <c r="L9" s="138"/>
      <c r="M9" s="139"/>
      <c r="N9" s="139"/>
      <c r="O9" s="140"/>
    </row>
    <row r="10" spans="1:15" ht="24.75" customHeight="1" thickBot="1" thickTop="1">
      <c r="A10" s="10" t="str">
        <f>IF(Scores!A14="",0,Scores!A14)</f>
        <v>Lewisburg</v>
      </c>
      <c r="B10" s="127">
        <f>Scores!F14</f>
        <v>36.7</v>
      </c>
      <c r="C10" s="128"/>
      <c r="D10" s="123">
        <f>Scores!F15</f>
        <v>36</v>
      </c>
      <c r="E10" s="124"/>
      <c r="F10" s="127">
        <f>Scores!J14</f>
        <v>27</v>
      </c>
      <c r="G10" s="128"/>
      <c r="H10" s="91">
        <f>Scores!J15</f>
        <v>25.95</v>
      </c>
      <c r="I10" s="92">
        <f>Scores!O14</f>
        <v>13.65</v>
      </c>
      <c r="J10" s="93">
        <f>Scores!T14</f>
        <v>13.875</v>
      </c>
      <c r="K10" s="33"/>
      <c r="L10" s="138"/>
      <c r="M10" s="139"/>
      <c r="N10" s="139"/>
      <c r="O10" s="140"/>
    </row>
    <row r="11" spans="1:15" ht="24.75" customHeight="1" thickBot="1" thickTop="1">
      <c r="A11" s="10" t="str">
        <f>IF(Scores!A16="",0,Scores!A16)</f>
        <v>Columbia</v>
      </c>
      <c r="B11" s="127">
        <f>Scores!F16</f>
        <v>35.4</v>
      </c>
      <c r="C11" s="128"/>
      <c r="D11" s="123">
        <f>Scores!F17</f>
        <v>35.9</v>
      </c>
      <c r="E11" s="124"/>
      <c r="F11" s="127">
        <f>Scores!J16</f>
        <v>26.55</v>
      </c>
      <c r="G11" s="128"/>
      <c r="H11" s="91">
        <f>Scores!J17</f>
        <v>26.4</v>
      </c>
      <c r="I11" s="92">
        <f>Scores!O16</f>
        <v>12.6</v>
      </c>
      <c r="J11" s="93">
        <f>Scores!T16</f>
        <v>13.5</v>
      </c>
      <c r="K11" s="33"/>
      <c r="L11" s="138"/>
      <c r="M11" s="139"/>
      <c r="N11" s="139"/>
      <c r="O11" s="140"/>
    </row>
    <row r="12" spans="1:15" ht="24.75" customHeight="1" thickBot="1" thickTop="1">
      <c r="A12" s="10" t="str">
        <f>IF(Scores!A18="",0,Scores!A18)</f>
        <v>Center Hill</v>
      </c>
      <c r="B12" s="127">
        <f>Scores!F18</f>
        <v>34.800000000000004</v>
      </c>
      <c r="C12" s="128"/>
      <c r="D12" s="123">
        <f>Scores!F19</f>
        <v>33.1</v>
      </c>
      <c r="E12" s="124"/>
      <c r="F12" s="127">
        <f>Scores!J18</f>
        <v>24.9</v>
      </c>
      <c r="G12" s="128"/>
      <c r="H12" s="91">
        <f>Scores!J19</f>
        <v>25.05</v>
      </c>
      <c r="I12" s="92">
        <f>Scores!O18</f>
        <v>12.225</v>
      </c>
      <c r="J12" s="93">
        <f>Scores!T18</f>
        <v>13.65</v>
      </c>
      <c r="K12" s="33"/>
      <c r="L12" s="138"/>
      <c r="M12" s="139"/>
      <c r="N12" s="139"/>
      <c r="O12" s="140"/>
    </row>
    <row r="13" spans="1:15" ht="24.75" customHeight="1" thickBot="1" thickTop="1">
      <c r="A13" s="10" t="str">
        <f>IF(Scores!A20="",0,Scores!A20)</f>
        <v>South Jones</v>
      </c>
      <c r="B13" s="127">
        <f>Scores!F20</f>
        <v>33.6</v>
      </c>
      <c r="C13" s="128"/>
      <c r="D13" s="123">
        <f>Scores!F21</f>
        <v>31.1</v>
      </c>
      <c r="E13" s="124"/>
      <c r="F13" s="127">
        <f>Scores!J20</f>
        <v>24.45</v>
      </c>
      <c r="G13" s="128"/>
      <c r="H13" s="91">
        <f>Scores!J21</f>
        <v>25.5</v>
      </c>
      <c r="I13" s="92">
        <f>Scores!O20</f>
        <v>11.475</v>
      </c>
      <c r="J13" s="93">
        <f>Scores!T20</f>
        <v>13.2</v>
      </c>
      <c r="K13" s="33"/>
      <c r="L13" s="138"/>
      <c r="M13" s="139"/>
      <c r="N13" s="139"/>
      <c r="O13" s="140"/>
    </row>
    <row r="14" spans="1:15" ht="24.75" customHeight="1" thickBot="1" thickTop="1">
      <c r="A14" s="10">
        <f>IF(Scores!A22="",0,Scores!A22)</f>
        <v>0</v>
      </c>
      <c r="B14" s="127">
        <f>Scores!F22</f>
        <v>0</v>
      </c>
      <c r="C14" s="128"/>
      <c r="D14" s="123">
        <f>Scores!F23</f>
        <v>0</v>
      </c>
      <c r="E14" s="124"/>
      <c r="F14" s="127">
        <f>Scores!J22</f>
        <v>0</v>
      </c>
      <c r="G14" s="128"/>
      <c r="H14" s="91">
        <f>Scores!J23</f>
        <v>0</v>
      </c>
      <c r="I14" s="92">
        <f>Scores!O22</f>
        <v>0</v>
      </c>
      <c r="J14" s="93">
        <f>Scores!T22</f>
        <v>0</v>
      </c>
      <c r="K14" s="33"/>
      <c r="L14" s="138"/>
      <c r="M14" s="139"/>
      <c r="N14" s="139"/>
      <c r="O14" s="140"/>
    </row>
    <row r="15" spans="1:15" ht="24.75" customHeight="1" thickBot="1" thickTop="1">
      <c r="A15" s="10">
        <f>IF(Scores!A24="",0,Scores!A24)</f>
        <v>0</v>
      </c>
      <c r="B15" s="127">
        <f>Scores!F24</f>
        <v>0</v>
      </c>
      <c r="C15" s="128"/>
      <c r="D15" s="123">
        <f>Scores!F25</f>
        <v>0</v>
      </c>
      <c r="E15" s="124"/>
      <c r="F15" s="127">
        <f>Scores!J24</f>
        <v>0</v>
      </c>
      <c r="G15" s="128"/>
      <c r="H15" s="91">
        <f>Scores!J25</f>
        <v>0</v>
      </c>
      <c r="I15" s="92">
        <f>Scores!O24</f>
        <v>0</v>
      </c>
      <c r="J15" s="93">
        <f>Scores!T24</f>
        <v>0</v>
      </c>
      <c r="K15" s="33"/>
      <c r="L15" s="141"/>
      <c r="M15" s="142"/>
      <c r="N15" s="142"/>
      <c r="O15" s="143"/>
    </row>
    <row r="16" spans="1:20" ht="30" customHeight="1" thickBot="1" thickTop="1">
      <c r="A16" s="151" t="s">
        <v>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31"/>
      <c r="O16" s="31"/>
      <c r="P16" s="31"/>
      <c r="Q16" s="9"/>
      <c r="R16" s="9"/>
      <c r="S16" s="9"/>
      <c r="T16" s="9"/>
    </row>
    <row r="17" spans="1:17" ht="17.25" customHeight="1" thickTop="1">
      <c r="A17" s="131" t="s">
        <v>1</v>
      </c>
      <c r="B17" s="133" t="s">
        <v>2</v>
      </c>
      <c r="C17" s="134"/>
      <c r="D17" s="133" t="s">
        <v>29</v>
      </c>
      <c r="E17" s="134"/>
      <c r="F17" s="156" t="s">
        <v>32</v>
      </c>
      <c r="G17" s="159"/>
      <c r="H17" s="156" t="s">
        <v>30</v>
      </c>
      <c r="I17" s="157"/>
      <c r="J17" s="157"/>
      <c r="K17" s="158"/>
      <c r="L17" s="152" t="s">
        <v>4</v>
      </c>
      <c r="M17" s="153"/>
      <c r="N17" s="154" t="s">
        <v>12</v>
      </c>
      <c r="O17" s="155"/>
      <c r="P17" s="18"/>
      <c r="Q17" s="18"/>
    </row>
    <row r="18" spans="1:15" ht="17.25" customHeight="1" thickBot="1">
      <c r="A18" s="132"/>
      <c r="B18" s="26" t="s">
        <v>9</v>
      </c>
      <c r="C18" s="27" t="s">
        <v>15</v>
      </c>
      <c r="D18" s="26" t="s">
        <v>9</v>
      </c>
      <c r="E18" s="27" t="s">
        <v>15</v>
      </c>
      <c r="F18" s="26" t="s">
        <v>31</v>
      </c>
      <c r="G18" s="27" t="s">
        <v>15</v>
      </c>
      <c r="H18" s="59" t="s">
        <v>31</v>
      </c>
      <c r="I18" s="65" t="s">
        <v>34</v>
      </c>
      <c r="J18" s="60" t="s">
        <v>35</v>
      </c>
      <c r="K18" s="61" t="s">
        <v>8</v>
      </c>
      <c r="L18" s="28" t="s">
        <v>14</v>
      </c>
      <c r="M18" s="29" t="s">
        <v>8</v>
      </c>
      <c r="N18" s="57" t="s">
        <v>14</v>
      </c>
      <c r="O18" s="58" t="s">
        <v>8</v>
      </c>
    </row>
    <row r="19" spans="1:15" ht="24.75" customHeight="1" thickBot="1" thickTop="1">
      <c r="A19" s="10" t="str">
        <f aca="true" t="shared" si="0" ref="A19:A24">A6</f>
        <v>New Albany</v>
      </c>
      <c r="B19" s="20">
        <f aca="true" t="shared" si="1" ref="B19:B28">(B6+D6)/2</f>
        <v>31.950000000000003</v>
      </c>
      <c r="C19" s="21">
        <f aca="true" t="shared" si="2" ref="C19:C28">IF(B19=0,"",RANK(B19,$B$19:$B$28,0))</f>
        <v>7</v>
      </c>
      <c r="D19" s="20">
        <f aca="true" t="shared" si="3" ref="D19:D28">(F6+H6)/2</f>
        <v>23.625</v>
      </c>
      <c r="E19" s="21">
        <f aca="true" t="shared" si="4" ref="E19:E28">IF(D19=0,"",RANK(D19,$D$19:$D$28,0))</f>
        <v>6</v>
      </c>
      <c r="F19" s="20">
        <f aca="true" t="shared" si="5" ref="F19:F28">(I6+J6)</f>
        <v>24.225</v>
      </c>
      <c r="G19" s="21">
        <f aca="true" t="shared" si="6" ref="G19:G28">IF(F19=0,"",RANK(F19,$F$19:$F$28,0))</f>
        <v>7</v>
      </c>
      <c r="H19" s="62">
        <f>B19+D19+F19</f>
        <v>79.80000000000001</v>
      </c>
      <c r="I19" s="88"/>
      <c r="J19" s="63">
        <f>H19-I19</f>
        <v>79.80000000000001</v>
      </c>
      <c r="K19" s="21">
        <f aca="true" t="shared" si="7" ref="K19:K28">IF(J19=0,"",RANK(J19,$J$19:$J$28,0))</f>
        <v>7</v>
      </c>
      <c r="L19" s="89">
        <f>Scores!W6</f>
        <v>81.5</v>
      </c>
      <c r="M19" s="22">
        <f aca="true" t="shared" si="8" ref="M19:M28">IF(L19=0,"",RANK(L19,$L$19:$L$28,0))</f>
        <v>7</v>
      </c>
      <c r="N19" s="90">
        <f>Scores!Z6</f>
        <v>73.5</v>
      </c>
      <c r="O19" s="53">
        <f aca="true" t="shared" si="9" ref="O19:O28">IF(N19=0,"",RANK(N19,$N$19:$N$28,0))</f>
        <v>8</v>
      </c>
    </row>
    <row r="20" spans="1:15" ht="24.75" customHeight="1" thickBot="1" thickTop="1">
      <c r="A20" s="10" t="str">
        <f t="shared" si="0"/>
        <v>Pontotoc</v>
      </c>
      <c r="B20" s="20">
        <f t="shared" si="1"/>
        <v>33.35</v>
      </c>
      <c r="C20" s="21">
        <f t="shared" si="2"/>
        <v>4</v>
      </c>
      <c r="D20" s="20">
        <f t="shared" si="3"/>
        <v>24.825</v>
      </c>
      <c r="E20" s="21">
        <f t="shared" si="4"/>
        <v>5</v>
      </c>
      <c r="F20" s="20">
        <f t="shared" si="5"/>
        <v>25.275</v>
      </c>
      <c r="G20" s="21">
        <f t="shared" si="6"/>
        <v>4</v>
      </c>
      <c r="H20" s="64">
        <f aca="true" t="shared" si="10" ref="H20:H28">B20+D20+F20</f>
        <v>83.44999999999999</v>
      </c>
      <c r="I20" s="88"/>
      <c r="J20" s="63">
        <f aca="true" t="shared" si="11" ref="J20:J28">H20-I20</f>
        <v>83.44999999999999</v>
      </c>
      <c r="K20" s="21">
        <f t="shared" si="7"/>
        <v>4</v>
      </c>
      <c r="L20" s="89">
        <f>Scores!W8</f>
        <v>85</v>
      </c>
      <c r="M20" s="22">
        <f t="shared" si="8"/>
        <v>5</v>
      </c>
      <c r="N20" s="90">
        <f>Scores!Z8</f>
        <v>81.5</v>
      </c>
      <c r="O20" s="53">
        <f t="shared" si="9"/>
        <v>5</v>
      </c>
    </row>
    <row r="21" spans="1:15" ht="24.75" customHeight="1" thickBot="1" thickTop="1">
      <c r="A21" s="10" t="str">
        <f t="shared" si="0"/>
        <v>Cleveland</v>
      </c>
      <c r="B21" s="20">
        <f t="shared" si="1"/>
        <v>30.700000000000003</v>
      </c>
      <c r="C21" s="21">
        <f t="shared" si="2"/>
        <v>8</v>
      </c>
      <c r="D21" s="20">
        <f t="shared" si="3"/>
        <v>23.1</v>
      </c>
      <c r="E21" s="21">
        <f t="shared" si="4"/>
        <v>8</v>
      </c>
      <c r="F21" s="20">
        <f t="shared" si="5"/>
        <v>23.4</v>
      </c>
      <c r="G21" s="21">
        <f t="shared" si="6"/>
        <v>8</v>
      </c>
      <c r="H21" s="64">
        <f t="shared" si="10"/>
        <v>77.2</v>
      </c>
      <c r="I21" s="88"/>
      <c r="J21" s="63">
        <f t="shared" si="11"/>
        <v>77.2</v>
      </c>
      <c r="K21" s="21">
        <f t="shared" si="7"/>
        <v>8</v>
      </c>
      <c r="L21" s="89">
        <f>Scores!W10</f>
        <v>78.5</v>
      </c>
      <c r="M21" s="22">
        <f t="shared" si="8"/>
        <v>8</v>
      </c>
      <c r="N21" s="90">
        <f>Scores!Z10</f>
        <v>75</v>
      </c>
      <c r="O21" s="53">
        <f t="shared" si="9"/>
        <v>7</v>
      </c>
    </row>
    <row r="22" spans="1:15" ht="24.75" customHeight="1" thickBot="1" thickTop="1">
      <c r="A22" s="10" t="str">
        <f t="shared" si="0"/>
        <v>Kosciusko</v>
      </c>
      <c r="B22" s="20">
        <f t="shared" si="1"/>
        <v>33.05</v>
      </c>
      <c r="C22" s="21">
        <f t="shared" si="2"/>
        <v>5</v>
      </c>
      <c r="D22" s="20">
        <f t="shared" si="3"/>
        <v>23.174999999999997</v>
      </c>
      <c r="E22" s="21">
        <f t="shared" si="4"/>
        <v>7</v>
      </c>
      <c r="F22" s="20">
        <f t="shared" si="5"/>
        <v>24.299999999999997</v>
      </c>
      <c r="G22" s="21">
        <f t="shared" si="6"/>
        <v>6</v>
      </c>
      <c r="H22" s="64">
        <f t="shared" si="10"/>
        <v>80.52499999999999</v>
      </c>
      <c r="I22" s="88"/>
      <c r="J22" s="63">
        <f t="shared" si="11"/>
        <v>80.52499999999999</v>
      </c>
      <c r="K22" s="21">
        <f t="shared" si="7"/>
        <v>6</v>
      </c>
      <c r="L22" s="89">
        <f>Scores!W12</f>
        <v>82</v>
      </c>
      <c r="M22" s="22">
        <f t="shared" si="8"/>
        <v>6</v>
      </c>
      <c r="N22" s="90">
        <f>Scores!Z12</f>
        <v>89</v>
      </c>
      <c r="O22" s="53">
        <f t="shared" si="9"/>
        <v>3</v>
      </c>
    </row>
    <row r="23" spans="1:15" ht="24.75" customHeight="1" thickBot="1" thickTop="1">
      <c r="A23" s="10" t="str">
        <f t="shared" si="0"/>
        <v>Lewisburg</v>
      </c>
      <c r="B23" s="20">
        <f t="shared" si="1"/>
        <v>36.35</v>
      </c>
      <c r="C23" s="21">
        <f t="shared" si="2"/>
        <v>1</v>
      </c>
      <c r="D23" s="20">
        <f t="shared" si="3"/>
        <v>26.475</v>
      </c>
      <c r="E23" s="21">
        <f t="shared" si="4"/>
        <v>1</v>
      </c>
      <c r="F23" s="20">
        <f t="shared" si="5"/>
        <v>27.525</v>
      </c>
      <c r="G23" s="21">
        <f t="shared" si="6"/>
        <v>1</v>
      </c>
      <c r="H23" s="64">
        <f t="shared" si="10"/>
        <v>90.35</v>
      </c>
      <c r="I23" s="88"/>
      <c r="J23" s="63">
        <f t="shared" si="11"/>
        <v>90.35</v>
      </c>
      <c r="K23" s="21">
        <f t="shared" si="7"/>
        <v>1</v>
      </c>
      <c r="L23" s="89">
        <f>Scores!W14</f>
        <v>92</v>
      </c>
      <c r="M23" s="22">
        <f t="shared" si="8"/>
        <v>2</v>
      </c>
      <c r="N23" s="90">
        <f>Scores!Z14</f>
        <v>91.5</v>
      </c>
      <c r="O23" s="53">
        <f t="shared" si="9"/>
        <v>1</v>
      </c>
    </row>
    <row r="24" spans="1:15" ht="24.75" customHeight="1" thickBot="1" thickTop="1">
      <c r="A24" s="10" t="str">
        <f t="shared" si="0"/>
        <v>Columbia</v>
      </c>
      <c r="B24" s="20">
        <f t="shared" si="1"/>
        <v>35.65</v>
      </c>
      <c r="C24" s="21">
        <f t="shared" si="2"/>
        <v>2</v>
      </c>
      <c r="D24" s="20">
        <f t="shared" si="3"/>
        <v>26.475</v>
      </c>
      <c r="E24" s="21">
        <f t="shared" si="4"/>
        <v>1</v>
      </c>
      <c r="F24" s="20">
        <f t="shared" si="5"/>
        <v>26.1</v>
      </c>
      <c r="G24" s="21">
        <f t="shared" si="6"/>
        <v>2</v>
      </c>
      <c r="H24" s="64">
        <f t="shared" si="10"/>
        <v>88.225</v>
      </c>
      <c r="I24" s="88"/>
      <c r="J24" s="63">
        <f t="shared" si="11"/>
        <v>88.225</v>
      </c>
      <c r="K24" s="21">
        <f t="shared" si="7"/>
        <v>2</v>
      </c>
      <c r="L24" s="89">
        <f>Scores!W16</f>
        <v>90</v>
      </c>
      <c r="M24" s="22">
        <f t="shared" si="8"/>
        <v>3</v>
      </c>
      <c r="N24" s="90">
        <f>Scores!Z16</f>
        <v>76.5</v>
      </c>
      <c r="O24" s="53">
        <f t="shared" si="9"/>
        <v>6</v>
      </c>
    </row>
    <row r="25" spans="1:15" ht="24.75" customHeight="1" thickBot="1" thickTop="1">
      <c r="A25" s="10" t="str">
        <f>A12</f>
        <v>Center Hill</v>
      </c>
      <c r="B25" s="20">
        <f t="shared" si="1"/>
        <v>33.95</v>
      </c>
      <c r="C25" s="21">
        <f t="shared" si="2"/>
        <v>3</v>
      </c>
      <c r="D25" s="20">
        <f t="shared" si="3"/>
        <v>24.975</v>
      </c>
      <c r="E25" s="21">
        <f t="shared" si="4"/>
        <v>3</v>
      </c>
      <c r="F25" s="20">
        <f t="shared" si="5"/>
        <v>25.875</v>
      </c>
      <c r="G25" s="21">
        <f t="shared" si="6"/>
        <v>3</v>
      </c>
      <c r="H25" s="64">
        <f t="shared" si="10"/>
        <v>84.80000000000001</v>
      </c>
      <c r="I25" s="88"/>
      <c r="J25" s="63">
        <f t="shared" si="11"/>
        <v>84.80000000000001</v>
      </c>
      <c r="K25" s="21">
        <f t="shared" si="7"/>
        <v>3</v>
      </c>
      <c r="L25" s="89">
        <f>Scores!W18</f>
        <v>94.5</v>
      </c>
      <c r="M25" s="22">
        <f t="shared" si="8"/>
        <v>1</v>
      </c>
      <c r="N25" s="90">
        <f>Scores!Z18</f>
        <v>88</v>
      </c>
      <c r="O25" s="53">
        <f t="shared" si="9"/>
        <v>4</v>
      </c>
    </row>
    <row r="26" spans="1:15" ht="24.75" customHeight="1" thickBot="1" thickTop="1">
      <c r="A26" s="10" t="str">
        <f>A13</f>
        <v>South Jones</v>
      </c>
      <c r="B26" s="20">
        <f t="shared" si="1"/>
        <v>32.35</v>
      </c>
      <c r="C26" s="21">
        <f t="shared" si="2"/>
        <v>6</v>
      </c>
      <c r="D26" s="20">
        <f t="shared" si="3"/>
        <v>24.975</v>
      </c>
      <c r="E26" s="21">
        <f t="shared" si="4"/>
        <v>3</v>
      </c>
      <c r="F26" s="20">
        <f t="shared" si="5"/>
        <v>24.674999999999997</v>
      </c>
      <c r="G26" s="21">
        <f t="shared" si="6"/>
        <v>5</v>
      </c>
      <c r="H26" s="64">
        <f t="shared" si="10"/>
        <v>82</v>
      </c>
      <c r="I26" s="88"/>
      <c r="J26" s="63">
        <f t="shared" si="11"/>
        <v>82</v>
      </c>
      <c r="K26" s="21">
        <f t="shared" si="7"/>
        <v>5</v>
      </c>
      <c r="L26" s="89">
        <f>Scores!W20</f>
        <v>87.5</v>
      </c>
      <c r="M26" s="22">
        <f t="shared" si="8"/>
        <v>4</v>
      </c>
      <c r="N26" s="90">
        <f>Scores!Z20</f>
        <v>90</v>
      </c>
      <c r="O26" s="53">
        <f t="shared" si="9"/>
        <v>2</v>
      </c>
    </row>
    <row r="27" spans="1:15" ht="24.75" customHeight="1" thickBot="1" thickTop="1">
      <c r="A27" s="10">
        <f>A14</f>
        <v>0</v>
      </c>
      <c r="B27" s="20">
        <f t="shared" si="1"/>
        <v>0</v>
      </c>
      <c r="C27" s="21">
        <f t="shared" si="2"/>
      </c>
      <c r="D27" s="20">
        <f t="shared" si="3"/>
        <v>0</v>
      </c>
      <c r="E27" s="21">
        <f t="shared" si="4"/>
      </c>
      <c r="F27" s="20">
        <f t="shared" si="5"/>
        <v>0</v>
      </c>
      <c r="G27" s="21">
        <f t="shared" si="6"/>
      </c>
      <c r="H27" s="64">
        <f t="shared" si="10"/>
        <v>0</v>
      </c>
      <c r="I27" s="88"/>
      <c r="J27" s="63">
        <f t="shared" si="11"/>
        <v>0</v>
      </c>
      <c r="K27" s="21">
        <f t="shared" si="7"/>
      </c>
      <c r="L27" s="89">
        <f>Scores!W22</f>
        <v>0</v>
      </c>
      <c r="M27" s="22">
        <f t="shared" si="8"/>
      </c>
      <c r="N27" s="90">
        <f>Scores!Z22</f>
        <v>0</v>
      </c>
      <c r="O27" s="53">
        <f t="shared" si="9"/>
      </c>
    </row>
    <row r="28" spans="1:15" ht="24.75" customHeight="1" thickBot="1" thickTop="1">
      <c r="A28" s="10">
        <f>A15</f>
        <v>0</v>
      </c>
      <c r="B28" s="20">
        <f t="shared" si="1"/>
        <v>0</v>
      </c>
      <c r="C28" s="21">
        <f t="shared" si="2"/>
      </c>
      <c r="D28" s="20">
        <f t="shared" si="3"/>
        <v>0</v>
      </c>
      <c r="E28" s="21">
        <f t="shared" si="4"/>
      </c>
      <c r="F28" s="20">
        <f t="shared" si="5"/>
        <v>0</v>
      </c>
      <c r="G28" s="21">
        <f t="shared" si="6"/>
      </c>
      <c r="H28" s="64">
        <f t="shared" si="10"/>
        <v>0</v>
      </c>
      <c r="I28" s="88"/>
      <c r="J28" s="63">
        <f t="shared" si="11"/>
        <v>0</v>
      </c>
      <c r="K28" s="21">
        <f t="shared" si="7"/>
      </c>
      <c r="L28" s="89">
        <f>Scores!W24</f>
        <v>0</v>
      </c>
      <c r="M28" s="22">
        <f t="shared" si="8"/>
      </c>
      <c r="N28" s="90">
        <f>Scores!Z24</f>
        <v>0</v>
      </c>
      <c r="O28" s="53">
        <f t="shared" si="9"/>
      </c>
    </row>
    <row r="29" ht="13.5" thickTop="1"/>
  </sheetData>
  <sheetProtection sheet="1" objects="1" scenarios="1" selectLockedCells="1"/>
  <mergeCells count="49">
    <mergeCell ref="F11:G11"/>
    <mergeCell ref="F12:G12"/>
    <mergeCell ref="F5:G5"/>
    <mergeCell ref="F6:G6"/>
    <mergeCell ref="F7:G7"/>
    <mergeCell ref="F8:G8"/>
    <mergeCell ref="D10:E10"/>
    <mergeCell ref="L17:M17"/>
    <mergeCell ref="N17:O17"/>
    <mergeCell ref="F13:G13"/>
    <mergeCell ref="F14:G14"/>
    <mergeCell ref="F15:G15"/>
    <mergeCell ref="H17:K17"/>
    <mergeCell ref="F17:G17"/>
    <mergeCell ref="A16:M16"/>
    <mergeCell ref="F10:G10"/>
    <mergeCell ref="A1:O1"/>
    <mergeCell ref="A2:O2"/>
    <mergeCell ref="A4:A5"/>
    <mergeCell ref="I4:J4"/>
    <mergeCell ref="B4:E4"/>
    <mergeCell ref="A3:J3"/>
    <mergeCell ref="F4:H4"/>
    <mergeCell ref="B10:C10"/>
    <mergeCell ref="B13:C13"/>
    <mergeCell ref="B14:C14"/>
    <mergeCell ref="L4:O15"/>
    <mergeCell ref="B7:C7"/>
    <mergeCell ref="B8:C8"/>
    <mergeCell ref="B15:C15"/>
    <mergeCell ref="B12:C12"/>
    <mergeCell ref="F9:G9"/>
    <mergeCell ref="D13:E13"/>
    <mergeCell ref="A17:A18"/>
    <mergeCell ref="B17:C17"/>
    <mergeCell ref="D17:E17"/>
    <mergeCell ref="B11:C11"/>
    <mergeCell ref="D14:E14"/>
    <mergeCell ref="D15:E15"/>
    <mergeCell ref="D11:E11"/>
    <mergeCell ref="D12:E12"/>
    <mergeCell ref="D7:E7"/>
    <mergeCell ref="D8:E8"/>
    <mergeCell ref="B5:C5"/>
    <mergeCell ref="B9:C9"/>
    <mergeCell ref="D5:E5"/>
    <mergeCell ref="B6:C6"/>
    <mergeCell ref="D6:E6"/>
    <mergeCell ref="D9:E9"/>
  </mergeCells>
  <printOptions horizontalCentered="1" verticalCentered="1"/>
  <pageMargins left="0" right="0" top="0" bottom="0" header="0.5" footer="0.5"/>
  <pageSetup fitToHeight="1" fitToWidth="1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9">
      <selection activeCell="C3" sqref="C3"/>
    </sheetView>
  </sheetViews>
  <sheetFormatPr defaultColWidth="9.140625" defaultRowHeight="12.75"/>
  <cols>
    <col min="1" max="2" width="9.140625" style="16" customWidth="1"/>
    <col min="3" max="3" width="30.7109375" style="44" customWidth="1"/>
    <col min="4" max="4" width="7.7109375" style="66" customWidth="1"/>
    <col min="5" max="5" width="4.57421875" style="0" customWidth="1"/>
    <col min="8" max="8" width="30.7109375" style="44" customWidth="1"/>
    <col min="9" max="9" width="7.7109375" style="66" customWidth="1"/>
  </cols>
  <sheetData>
    <row r="1" ht="18">
      <c r="A1" s="17" t="str">
        <f>Scores!A1</f>
        <v>2009 MHSAA-MBA STATE MARCHING BAND CHAMPIONSHIP - FINALS</v>
      </c>
    </row>
    <row r="2" ht="18">
      <c r="A2" s="17" t="str">
        <f>Scores!A2</f>
        <v>October 24, 2009 - Pearl, MS</v>
      </c>
    </row>
    <row r="3" ht="18">
      <c r="A3" s="17" t="str">
        <f>Scores!A3</f>
        <v>CLASS 4A</v>
      </c>
    </row>
    <row r="4" ht="15.75" thickBot="1"/>
    <row r="5" spans="1:9" ht="19.5" thickTop="1">
      <c r="A5" s="172" t="s">
        <v>2</v>
      </c>
      <c r="B5" s="173"/>
      <c r="C5" s="52"/>
      <c r="D5" s="67" t="s">
        <v>14</v>
      </c>
      <c r="E5" s="45"/>
      <c r="F5" s="172" t="s">
        <v>20</v>
      </c>
      <c r="G5" s="173"/>
      <c r="H5" s="173"/>
      <c r="I5" s="67" t="s">
        <v>14</v>
      </c>
    </row>
    <row r="6" spans="1:9" ht="15.75">
      <c r="A6" s="160" t="s">
        <v>16</v>
      </c>
      <c r="B6" s="161"/>
      <c r="C6" s="46" t="str">
        <f>INDEX(Recap!$A$19:$O$28,MATCH(3,Recap!$C$19:$C$28,0),1)</f>
        <v>Center Hill</v>
      </c>
      <c r="D6" s="68">
        <f>INDEX(Recap!$A$19:$O$28,MATCH(3,Recap!$C$19:$C$28,0),2)</f>
        <v>33.95</v>
      </c>
      <c r="E6" s="42"/>
      <c r="F6" s="164"/>
      <c r="G6" s="165"/>
      <c r="H6" s="46"/>
      <c r="I6" s="68"/>
    </row>
    <row r="7" spans="1:9" ht="15.75">
      <c r="A7" s="160" t="s">
        <v>17</v>
      </c>
      <c r="B7" s="161"/>
      <c r="C7" s="46" t="str">
        <f>INDEX(Recap!$A$19:$O$28,MATCH(2,Recap!$C$19:$C$28,0),1)</f>
        <v>Columbia</v>
      </c>
      <c r="D7" s="68">
        <f>INDEX(Recap!$A$19:$O$28,MATCH(2,Recap!$C$19:$C$28,0),2)</f>
        <v>35.65</v>
      </c>
      <c r="E7" s="42"/>
      <c r="F7" s="164"/>
      <c r="G7" s="165"/>
      <c r="H7" s="46"/>
      <c r="I7" s="68"/>
    </row>
    <row r="8" spans="1:9" ht="16.5" thickBot="1">
      <c r="A8" s="162" t="s">
        <v>18</v>
      </c>
      <c r="B8" s="163"/>
      <c r="C8" s="47" t="str">
        <f>INDEX(Recap!$A$19:$O$28,MATCH(1,Recap!$C$19:$C$28,0),1)</f>
        <v>Lewisburg</v>
      </c>
      <c r="D8" s="69">
        <f>INDEX(Recap!$A$19:$O$28,MATCH(1,Recap!$C$19:$C$28,0),2)</f>
        <v>36.35</v>
      </c>
      <c r="E8" s="42"/>
      <c r="F8" s="164" t="s">
        <v>22</v>
      </c>
      <c r="G8" s="165"/>
      <c r="H8" s="46" t="str">
        <f>INDEX(Recap!$A$19:$O$28,MATCH(8,Recap!$K$19:$K$28,0),1)</f>
        <v>Cleveland</v>
      </c>
      <c r="I8" s="68">
        <f>INDEX(Recap!$A$19:$O$28,MATCH(8,Recap!$K$19:$K$28,0),10)</f>
        <v>77.2</v>
      </c>
    </row>
    <row r="9" spans="3:9" ht="17.25" thickBot="1" thickTop="1">
      <c r="C9" s="48"/>
      <c r="D9" s="70"/>
      <c r="E9" s="30"/>
      <c r="F9" s="164" t="s">
        <v>23</v>
      </c>
      <c r="G9" s="165"/>
      <c r="H9" s="46" t="str">
        <f>INDEX(Recap!$A$19:$O$28,MATCH(7,Recap!$K$19:$K$28,0),1)</f>
        <v>New Albany</v>
      </c>
      <c r="I9" s="68">
        <f>INDEX(Recap!$A$19:$O$28,MATCH(7,Recap!$K$19:$K$28,0),10)</f>
        <v>79.80000000000001</v>
      </c>
    </row>
    <row r="10" spans="1:9" ht="19.5" thickTop="1">
      <c r="A10" s="49" t="s">
        <v>29</v>
      </c>
      <c r="B10" s="50"/>
      <c r="C10" s="51"/>
      <c r="D10" s="67" t="s">
        <v>14</v>
      </c>
      <c r="E10" s="43"/>
      <c r="F10" s="164" t="s">
        <v>24</v>
      </c>
      <c r="G10" s="165"/>
      <c r="H10" s="46" t="str">
        <f>INDEX(Recap!$A$19:$O$28,MATCH(6,Recap!$K$19:$K$28,0),1)</f>
        <v>Kosciusko</v>
      </c>
      <c r="I10" s="68">
        <f>INDEX(Recap!$A$19:$O$28,MATCH(6,Recap!$K$19:$K$28,0),10)</f>
        <v>80.52499999999999</v>
      </c>
    </row>
    <row r="11" spans="1:9" ht="15.75">
      <c r="A11" s="160" t="s">
        <v>16</v>
      </c>
      <c r="B11" s="161"/>
      <c r="C11" s="46" t="str">
        <f>INDEX(Recap!$A$19:$O$28,MATCH(3,Recap!$E$19:$E$28,0),1)</f>
        <v>Center Hill</v>
      </c>
      <c r="D11" s="68">
        <f>INDEX(Recap!$A$19:$O$28,MATCH(3,Recap!$E$19:$E$28,0),4)</f>
        <v>24.975</v>
      </c>
      <c r="E11" s="42"/>
      <c r="F11" s="164" t="s">
        <v>25</v>
      </c>
      <c r="G11" s="165"/>
      <c r="H11" s="46" t="str">
        <f>INDEX(Recap!$A$19:$O$28,MATCH(5,Recap!$K$19:$K$28,0),1)</f>
        <v>South Jones</v>
      </c>
      <c r="I11" s="68">
        <f>INDEX(Recap!$A$19:$O$28,MATCH(5,Recap!$K$19:$K$28,0),10)</f>
        <v>82</v>
      </c>
    </row>
    <row r="12" spans="1:9" ht="15.75">
      <c r="A12" s="160" t="s">
        <v>17</v>
      </c>
      <c r="B12" s="161"/>
      <c r="C12" s="46" t="e">
        <f>INDEX(Recap!$A$19:$O$28,MATCH(2,Recap!$E$19:$E$28,0),1)</f>
        <v>#N/A</v>
      </c>
      <c r="D12" s="68" t="e">
        <f>INDEX(Recap!$A$19:$O$28,MATCH(2,Recap!$E$19:$E$28,0),4)</f>
        <v>#N/A</v>
      </c>
      <c r="E12" s="42"/>
      <c r="F12" s="164" t="s">
        <v>26</v>
      </c>
      <c r="G12" s="165"/>
      <c r="H12" s="46" t="str">
        <f>INDEX(Recap!$A$19:$O$28,MATCH(4,Recap!$K$19:$K$28,0),1)</f>
        <v>Pontotoc</v>
      </c>
      <c r="I12" s="68">
        <f>INDEX(Recap!$A$19:$O$28,MATCH(4,Recap!$K$19:$K$28,0),10)</f>
        <v>83.44999999999999</v>
      </c>
    </row>
    <row r="13" spans="1:9" ht="16.5" thickBot="1">
      <c r="A13" s="162" t="s">
        <v>18</v>
      </c>
      <c r="B13" s="163"/>
      <c r="C13" s="47" t="str">
        <f>INDEX(Recap!$A$19:$O$28,MATCH(1,Recap!$E$19:$E$28,0),1)</f>
        <v>Lewisburg</v>
      </c>
      <c r="D13" s="69">
        <f>INDEX(Recap!$A$19:$O$28,MATCH(1,Recap!$E$19:$E$28,0),4)</f>
        <v>26.475</v>
      </c>
      <c r="E13" s="42"/>
      <c r="F13" s="164" t="s">
        <v>27</v>
      </c>
      <c r="G13" s="165"/>
      <c r="H13" s="46" t="str">
        <f>INDEX(Recap!$A$19:$O$28,MATCH(3,Recap!$K$19:$K$28,0),1)</f>
        <v>Center Hill</v>
      </c>
      <c r="I13" s="68">
        <f>INDEX(Recap!$A$19:$O$28,MATCH(3,Recap!$K$19:$K$28,0),10)</f>
        <v>84.80000000000001</v>
      </c>
    </row>
    <row r="14" spans="3:9" ht="17.25" thickBot="1" thickTop="1">
      <c r="C14" s="48"/>
      <c r="D14" s="70"/>
      <c r="E14" s="30"/>
      <c r="F14" s="164" t="s">
        <v>28</v>
      </c>
      <c r="G14" s="165"/>
      <c r="H14" s="46" t="str">
        <f>INDEX(Recap!$A$19:$O$28,MATCH(2,Recap!$K$19:$K$28,0),1)</f>
        <v>Columbia</v>
      </c>
      <c r="I14" s="68">
        <f>INDEX(Recap!$A$19:$O$28,MATCH(2,Recap!$K$19:$K$28,0),10)</f>
        <v>88.225</v>
      </c>
    </row>
    <row r="15" spans="1:9" ht="19.5" thickTop="1">
      <c r="A15" s="49" t="s">
        <v>3</v>
      </c>
      <c r="B15" s="50"/>
      <c r="C15" s="51"/>
      <c r="D15" s="67" t="s">
        <v>14</v>
      </c>
      <c r="E15" s="43"/>
      <c r="F15" s="164" t="s">
        <v>21</v>
      </c>
      <c r="G15" s="165"/>
      <c r="H15" s="46" t="str">
        <f>INDEX(Recap!$A$19:$O$28,MATCH(1,Recap!$K$19:$K$28,0),1)</f>
        <v>Lewisburg</v>
      </c>
      <c r="I15" s="68">
        <f>INDEX(Recap!$A$19:$O$28,MATCH(1,Recap!$K$19:$K$28,0),10)</f>
        <v>90.35</v>
      </c>
    </row>
    <row r="16" spans="1:9" ht="15.75">
      <c r="A16" s="160" t="s">
        <v>16</v>
      </c>
      <c r="B16" s="161"/>
      <c r="C16" s="46" t="str">
        <f>INDEX(Recap!$A$19:$O$28,MATCH(3,Recap!$G$19:$G$28,0),1)</f>
        <v>Center Hill</v>
      </c>
      <c r="D16" s="68">
        <f>INDEX(Recap!$A$19:$O$28,MATCH(3,Recap!$G$19:$G$28,0),6)</f>
        <v>25.875</v>
      </c>
      <c r="E16" s="42"/>
      <c r="F16" s="166" t="s">
        <v>33</v>
      </c>
      <c r="G16" s="167"/>
      <c r="H16" s="167"/>
      <c r="I16" s="168"/>
    </row>
    <row r="17" spans="1:9" ht="15.75">
      <c r="A17" s="160" t="s">
        <v>17</v>
      </c>
      <c r="B17" s="161"/>
      <c r="C17" s="46" t="str">
        <f>INDEX(Recap!$A$19:$O$28,MATCH(2,Recap!$G$19:$G$28,0),1)</f>
        <v>Columbia</v>
      </c>
      <c r="D17" s="68">
        <f>INDEX(Recap!$A$19:$O$28,MATCH(2,Recap!$G$19:$G$28,0),6)</f>
        <v>26.1</v>
      </c>
      <c r="E17" s="42"/>
      <c r="F17" s="166"/>
      <c r="G17" s="167"/>
      <c r="H17" s="167"/>
      <c r="I17" s="168"/>
    </row>
    <row r="18" spans="1:9" ht="16.5" thickBot="1">
      <c r="A18" s="162" t="s">
        <v>18</v>
      </c>
      <c r="B18" s="163"/>
      <c r="C18" s="47" t="str">
        <f>INDEX(Recap!$A$19:$O$28,MATCH(1,Recap!$G$19:$G$28,0),1)</f>
        <v>Lewisburg</v>
      </c>
      <c r="D18" s="69">
        <f>INDEX(Recap!$A$19:$O$28,MATCH(1,Recap!$G$19:$G$28,0),6)</f>
        <v>27.525</v>
      </c>
      <c r="E18" s="42"/>
      <c r="F18" s="166"/>
      <c r="G18" s="167"/>
      <c r="H18" s="167"/>
      <c r="I18" s="168"/>
    </row>
    <row r="19" spans="3:9" ht="16.5" thickBot="1" thickTop="1">
      <c r="C19" s="48"/>
      <c r="D19" s="70"/>
      <c r="E19" s="30"/>
      <c r="F19" s="166"/>
      <c r="G19" s="167"/>
      <c r="H19" s="167"/>
      <c r="I19" s="168"/>
    </row>
    <row r="20" spans="1:9" ht="19.5" thickTop="1">
      <c r="A20" s="49" t="s">
        <v>19</v>
      </c>
      <c r="B20" s="50"/>
      <c r="C20" s="51"/>
      <c r="D20" s="67" t="s">
        <v>14</v>
      </c>
      <c r="E20" s="43"/>
      <c r="F20" s="166"/>
      <c r="G20" s="167"/>
      <c r="H20" s="167"/>
      <c r="I20" s="168"/>
    </row>
    <row r="21" spans="1:9" ht="15.75">
      <c r="A21" s="160" t="s">
        <v>16</v>
      </c>
      <c r="B21" s="161"/>
      <c r="C21" s="46" t="str">
        <f>INDEX(Recap!$A$19:$O$28,MATCH(3,Recap!$M$19:$M$28,0),1)</f>
        <v>Columbia</v>
      </c>
      <c r="D21" s="68">
        <f>INDEX(Recap!$A$19:$O$28,MATCH(3,Recap!$M$19:$M$28,0),12)</f>
        <v>90</v>
      </c>
      <c r="E21" s="42"/>
      <c r="F21" s="166"/>
      <c r="G21" s="167"/>
      <c r="H21" s="167"/>
      <c r="I21" s="168"/>
    </row>
    <row r="22" spans="1:9" ht="15.75" customHeight="1" thickBot="1">
      <c r="A22" s="160" t="s">
        <v>17</v>
      </c>
      <c r="B22" s="161"/>
      <c r="C22" s="46" t="str">
        <f>INDEX(Recap!$A$19:$O$28,MATCH(2,Recap!$M$19:$M$28,0),1)</f>
        <v>Lewisburg</v>
      </c>
      <c r="D22" s="68">
        <f>INDEX(Recap!$A$19:$O$28,MATCH(2,Recap!$M$19:$M$28,0),12)</f>
        <v>92</v>
      </c>
      <c r="E22" s="42"/>
      <c r="F22" s="169"/>
      <c r="G22" s="170"/>
      <c r="H22" s="170"/>
      <c r="I22" s="171"/>
    </row>
    <row r="23" spans="1:5" ht="17.25" thickBot="1" thickTop="1">
      <c r="A23" s="162" t="s">
        <v>18</v>
      </c>
      <c r="B23" s="163"/>
      <c r="C23" s="47" t="str">
        <f>INDEX(Recap!$A$19:$O$28,MATCH(1,Recap!$M$19:$M$28,0),1)</f>
        <v>Center Hill</v>
      </c>
      <c r="D23" s="69">
        <f>INDEX(Recap!$A$19:$O$28,MATCH(1,Recap!$M$19:$M$28,0),12)</f>
        <v>94.5</v>
      </c>
      <c r="E23" s="42"/>
    </row>
    <row r="24" spans="3:5" ht="16.5" thickBot="1" thickTop="1">
      <c r="C24" s="48"/>
      <c r="D24" s="70"/>
      <c r="E24" s="30"/>
    </row>
    <row r="25" spans="1:5" ht="19.5" thickTop="1">
      <c r="A25" s="49" t="s">
        <v>12</v>
      </c>
      <c r="B25" s="50"/>
      <c r="C25" s="51"/>
      <c r="D25" s="67" t="s">
        <v>14</v>
      </c>
      <c r="E25" s="43"/>
    </row>
    <row r="26" spans="1:5" ht="15.75">
      <c r="A26" s="160" t="s">
        <v>16</v>
      </c>
      <c r="B26" s="161"/>
      <c r="C26" s="46" t="str">
        <f>INDEX(Recap!$A$19:$O$28,MATCH(3,Recap!$O$19:$O$28,0),1)</f>
        <v>Kosciusko</v>
      </c>
      <c r="D26" s="68">
        <f>INDEX(Recap!$A$19:$O$28,MATCH(3,Recap!$O$19:$O$28,0),14)</f>
        <v>89</v>
      </c>
      <c r="E26" s="42"/>
    </row>
    <row r="27" spans="1:5" ht="15.75">
      <c r="A27" s="160" t="s">
        <v>17</v>
      </c>
      <c r="B27" s="161"/>
      <c r="C27" s="46" t="str">
        <f>INDEX(Recap!$A$19:$O$28,MATCH(2,Recap!$O$19:$O$28,0),1)</f>
        <v>South Jones</v>
      </c>
      <c r="D27" s="68">
        <f>INDEX(Recap!$A$19:$O$28,MATCH(2,Recap!$O$19:$O$28,0),14)</f>
        <v>90</v>
      </c>
      <c r="E27" s="42"/>
    </row>
    <row r="28" spans="1:6" ht="16.5" thickBot="1">
      <c r="A28" s="162" t="s">
        <v>18</v>
      </c>
      <c r="B28" s="163"/>
      <c r="C28" s="47" t="str">
        <f>INDEX(Recap!$A$19:$O$28,MATCH(1,Recap!$O$19:$O$28,0),1)</f>
        <v>Lewisburg</v>
      </c>
      <c r="D28" s="69">
        <f>INDEX(Recap!$A$19:$O$28,MATCH(1,Recap!$O$19:$O$28,0),14)</f>
        <v>91.5</v>
      </c>
      <c r="E28" s="42"/>
      <c r="F28" s="94"/>
    </row>
    <row r="29" ht="15.75" thickTop="1"/>
  </sheetData>
  <sheetProtection sheet="1" objects="1" scenarios="1" selectLockedCells="1" selectUnlockedCells="1"/>
  <mergeCells count="28">
    <mergeCell ref="F7:G7"/>
    <mergeCell ref="F15:G15"/>
    <mergeCell ref="F11:G11"/>
    <mergeCell ref="A12:B12"/>
    <mergeCell ref="A13:B13"/>
    <mergeCell ref="F9:G9"/>
    <mergeCell ref="F5:H5"/>
    <mergeCell ref="A16:B16"/>
    <mergeCell ref="A17:B17"/>
    <mergeCell ref="A6:B6"/>
    <mergeCell ref="A7:B7"/>
    <mergeCell ref="A8:B8"/>
    <mergeCell ref="F12:G12"/>
    <mergeCell ref="F6:G6"/>
    <mergeCell ref="A5:B5"/>
    <mergeCell ref="F8:G8"/>
    <mergeCell ref="F10:G10"/>
    <mergeCell ref="F16:I22"/>
    <mergeCell ref="F13:G13"/>
    <mergeCell ref="F14:G14"/>
    <mergeCell ref="A11:B11"/>
    <mergeCell ref="A28:B28"/>
    <mergeCell ref="A18:B18"/>
    <mergeCell ref="A21:B21"/>
    <mergeCell ref="A22:B22"/>
    <mergeCell ref="A23:B23"/>
    <mergeCell ref="A27:B27"/>
    <mergeCell ref="A26:B26"/>
  </mergeCells>
  <printOptions horizontalCentered="1" verticalCentered="1"/>
  <pageMargins left="0" right="0" top="0.75" bottom="0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2009-10-25T02:15:12Z</cp:lastPrinted>
  <dcterms:created xsi:type="dcterms:W3CDTF">2005-10-07T16:30:03Z</dcterms:created>
  <dcterms:modified xsi:type="dcterms:W3CDTF">2009-10-26T02:46:13Z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