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6585" windowHeight="8190" activeTab="0"/>
  </bookViews>
  <sheets>
    <sheet name="Scores" sheetId="1" r:id="rId1"/>
    <sheet name="Recap" sheetId="2" r:id="rId2"/>
    <sheet name="Results" sheetId="3" r:id="rId3"/>
    <sheet name="Finals Timing" sheetId="4" r:id="rId4"/>
  </sheets>
  <definedNames>
    <definedName name="_xlnm.Print_Area" localSheetId="3">'Finals Timing'!$B$1:$F$14</definedName>
    <definedName name="_xlnm.Print_Area" localSheetId="1">'Recap'!$A$1:$O$38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25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<sst xmlns="http://schemas.openxmlformats.org/spreadsheetml/2006/main" count="141" uniqueCount="71">
  <si>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</si>
  <si>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</si>
  <si>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</si>
  <si>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</si>
  <si>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</si>
  <si>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</si>
  <si>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</si>
  <si>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</si>
  <si>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</si>
  <si>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</si>
  <si>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</si>
  <si>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</si>
  <si>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</si>
  <si>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</si>
  <si>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</si>
  <si>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</si>
  <si>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VISUAL</t>
  </si>
  <si>
    <t>OVERALL BAND</t>
  </si>
  <si>
    <t>TOTAL</t>
  </si>
  <si>
    <t>GEN EFFECT</t>
  </si>
  <si>
    <t>PENALTIES</t>
  </si>
  <si>
    <t>FINAL SCORE</t>
  </si>
  <si>
    <t>EX</t>
  </si>
  <si>
    <t>MR</t>
  </si>
  <si>
    <t>SH</t>
  </si>
  <si>
    <t>VR</t>
  </si>
  <si>
    <t>EF</t>
  </si>
  <si>
    <t>Warm-Up</t>
  </si>
  <si>
    <t>Area</t>
  </si>
  <si>
    <t>Depart</t>
  </si>
  <si>
    <t>Perform</t>
  </si>
  <si>
    <t>#1</t>
  </si>
  <si>
    <t>A</t>
  </si>
  <si>
    <t>#4</t>
  </si>
  <si>
    <t>B</t>
  </si>
  <si>
    <t>#2</t>
  </si>
  <si>
    <t>#5</t>
  </si>
  <si>
    <t>#3</t>
  </si>
  <si>
    <t>#6</t>
  </si>
  <si>
    <t>FINALIST</t>
  </si>
  <si>
    <t>Performance times were selected by random drawing.  Please make sure that you coordinate times with site director.</t>
  </si>
  <si>
    <t>AVG</t>
  </si>
  <si>
    <t>Band</t>
  </si>
  <si>
    <t>Score</t>
  </si>
  <si>
    <t>RESULTS</t>
  </si>
  <si>
    <t>MHSAA-MBA STATE MARCHING BAND FINALS</t>
  </si>
  <si>
    <t>Music Performance - 40%</t>
  </si>
  <si>
    <t>Marching - Visual - 30%</t>
  </si>
  <si>
    <t>GE Music - 15%</t>
  </si>
  <si>
    <t>GE Visual - 15%</t>
  </si>
  <si>
    <t>PQ</t>
  </si>
  <si>
    <t>CMP</t>
  </si>
  <si>
    <t>Tot</t>
  </si>
  <si>
    <t>EXC</t>
  </si>
  <si>
    <t>Avg</t>
  </si>
  <si>
    <t>RETREAT and AWARDS</t>
  </si>
  <si>
    <t>CONCLUSION</t>
  </si>
  <si>
    <t>Richton</t>
  </si>
  <si>
    <t>Union</t>
  </si>
  <si>
    <t>Wesson</t>
  </si>
  <si>
    <t>Scott Central</t>
  </si>
  <si>
    <t>Stringer</t>
  </si>
  <si>
    <t>Enterprise</t>
  </si>
  <si>
    <t>Taylorsville</t>
  </si>
  <si>
    <t>Bruce</t>
  </si>
  <si>
    <t>Ackerman</t>
  </si>
  <si>
    <t>Baldwyn</t>
  </si>
  <si>
    <t>Eupora</t>
  </si>
  <si>
    <t>CLASS 2A</t>
  </si>
  <si>
    <t>October 24, 2009 - Copiah Lincoln Community College</t>
  </si>
  <si>
    <r>
      <t xml:space="preserve">2009 MHSAA-MBA STATE MARCHING BAND CHAMPIONSHIP - </t>
    </r>
    <r>
      <rPr>
        <i/>
        <sz val="14"/>
        <rFont val="Arial"/>
        <family val="2"/>
      </rPr>
      <t>PRELIMINARY ROUND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</si>
</sst>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[$-409]dddd\,\ mmmm\ dd\,\ yyyy"/>
    <numFmt numFmtId="168" formatCode="[$-F800]dddd\,\ mmmm\ dd\,\ yyyy"/>
  </numFmts>
  <fonts count="43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sz val="18"/>
      <name val="Arial"/>
      <family val="2"/>
    </font>
    <font>
      <i/>
      <sz val="14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6"/>
      <name val="Comic Sans MS"/>
      <family val="4"/>
    </font>
    <font>
      <sz val="14"/>
      <name val="Comic Sans MS"/>
      <family val="4"/>
    </font>
    <font>
      <i/>
      <sz val="36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 style="thin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dotted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ouble"/>
      <right style="dashed"/>
      <top style="thin"/>
      <bottom style="thin"/>
    </border>
    <border>
      <left style="double"/>
      <right style="double"/>
      <top style="thin"/>
      <bottom style="thin"/>
    </border>
    <border>
      <left style="dashed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ashed"/>
      <top style="thin"/>
      <bottom style="double"/>
    </border>
    <border>
      <left style="dashed"/>
      <right style="double"/>
      <top style="thin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shrinkToFit="1"/>
      <protection/>
    </xf>
    <xf numFmtId="165" fontId="0" fillId="0" borderId="1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166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shrinkToFit="1"/>
      <protection/>
    </xf>
    <xf numFmtId="165" fontId="0" fillId="0" borderId="15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/>
      <protection/>
    </xf>
    <xf numFmtId="166" fontId="0" fillId="0" borderId="17" xfId="0" applyNumberFormat="1" applyFont="1" applyFill="1" applyBorder="1" applyAlignment="1">
      <alignment shrinkToFit="1"/>
    </xf>
    <xf numFmtId="2" fontId="0" fillId="0" borderId="16" xfId="0" applyNumberFormat="1" applyFont="1" applyFill="1" applyBorder="1" applyAlignment="1" applyProtection="1">
      <alignment/>
      <protection/>
    </xf>
    <xf numFmtId="166" fontId="0" fillId="0" borderId="17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 shrinkToFit="1"/>
    </xf>
    <xf numFmtId="0" fontId="0" fillId="0" borderId="19" xfId="0" applyFont="1" applyFill="1" applyBorder="1" applyAlignment="1" applyProtection="1">
      <alignment horizontal="center" shrinkToFit="1"/>
      <protection/>
    </xf>
    <xf numFmtId="165" fontId="0" fillId="0" borderId="20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/>
    </xf>
    <xf numFmtId="166" fontId="0" fillId="0" borderId="22" xfId="0" applyNumberFormat="1" applyFont="1" applyFill="1" applyBorder="1" applyAlignment="1">
      <alignment shrinkToFit="1"/>
    </xf>
    <xf numFmtId="2" fontId="0" fillId="0" borderId="21" xfId="0" applyNumberFormat="1" applyFont="1" applyFill="1" applyBorder="1" applyAlignment="1" applyProtection="1">
      <alignment/>
      <protection/>
    </xf>
    <xf numFmtId="166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shrinkToFit="1"/>
    </xf>
    <xf numFmtId="0" fontId="0" fillId="0" borderId="24" xfId="0" applyFont="1" applyFill="1" applyBorder="1" applyAlignment="1" applyProtection="1">
      <alignment horizontal="center"/>
      <protection/>
    </xf>
    <xf numFmtId="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shrinkToFit="1"/>
      <protection/>
    </xf>
    <xf numFmtId="165" fontId="0" fillId="0" borderId="24" xfId="0" applyNumberFormat="1" applyFont="1" applyFill="1" applyBorder="1" applyAlignment="1" applyProtection="1">
      <alignment/>
      <protection locked="0"/>
    </xf>
    <xf numFmtId="165" fontId="0" fillId="0" borderId="24" xfId="0" applyNumberFormat="1" applyFont="1" applyFill="1" applyBorder="1" applyAlignment="1" applyProtection="1">
      <alignment/>
      <protection/>
    </xf>
    <xf numFmtId="166" fontId="0" fillId="0" borderId="24" xfId="0" applyNumberFormat="1" applyFont="1" applyFill="1" applyBorder="1" applyAlignment="1">
      <alignment shrinkToFit="1"/>
    </xf>
    <xf numFmtId="2" fontId="0" fillId="0" borderId="24" xfId="0" applyNumberFormat="1" applyFont="1" applyFill="1" applyBorder="1" applyAlignment="1" applyProtection="1">
      <alignment/>
      <protection/>
    </xf>
    <xf numFmtId="166" fontId="0" fillId="0" borderId="24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 vertical="center" textRotation="255"/>
      <protection/>
    </xf>
    <xf numFmtId="0" fontId="3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37" fillId="0" borderId="24" xfId="0" applyFont="1" applyFill="1" applyBorder="1" applyAlignment="1" applyProtection="1">
      <alignment horizontal="center" vertical="center" shrinkToFit="1"/>
      <protection/>
    </xf>
    <xf numFmtId="166" fontId="3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166" fontId="36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4" xfId="0" applyFont="1" applyFill="1" applyBorder="1" applyAlignment="1" applyProtection="1">
      <alignment horizontal="center" vertical="center"/>
      <protection/>
    </xf>
    <xf numFmtId="166" fontId="41" fillId="0" borderId="24" xfId="0" applyNumberFormat="1" applyFont="1" applyFill="1" applyBorder="1" applyAlignment="1" applyProtection="1">
      <alignment vertical="center"/>
      <protection/>
    </xf>
    <xf numFmtId="2" fontId="41" fillId="0" borderId="24" xfId="0" applyNumberFormat="1" applyFont="1" applyFill="1" applyBorder="1" applyAlignment="1" applyProtection="1">
      <alignment horizontal="center" vertical="center"/>
      <protection locked="0"/>
    </xf>
    <xf numFmtId="166" fontId="41" fillId="0" borderId="24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 shrinkToFit="1"/>
    </xf>
    <xf numFmtId="166" fontId="0" fillId="0" borderId="26" xfId="0" applyNumberFormat="1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 shrinkToFi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shrinkToFit="1"/>
    </xf>
    <xf numFmtId="166" fontId="0" fillId="0" borderId="32" xfId="0" applyNumberFormat="1" applyFont="1" applyFill="1" applyBorder="1" applyAlignment="1">
      <alignment horizontal="center" shrinkToFi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shrinkToFit="1"/>
    </xf>
    <xf numFmtId="166" fontId="0" fillId="0" borderId="35" xfId="0" applyNumberFormat="1" applyFont="1" applyFill="1" applyBorder="1" applyAlignment="1">
      <alignment horizontal="center" shrinkToFit="1"/>
    </xf>
    <xf numFmtId="166" fontId="0" fillId="0" borderId="24" xfId="0" applyNumberFormat="1" applyFont="1" applyFill="1" applyBorder="1" applyAlignment="1">
      <alignment horizontal="center" shrinkToFi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shrinkToFit="1"/>
    </xf>
    <xf numFmtId="20" fontId="15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15" fillId="0" borderId="24" xfId="0" applyFont="1" applyFill="1" applyBorder="1" applyAlignment="1">
      <alignment horizontal="center" shrinkToFit="1"/>
    </xf>
    <xf numFmtId="2" fontId="0" fillId="0" borderId="24" xfId="0" applyNumberFormat="1" applyFont="1" applyFill="1" applyBorder="1" applyAlignment="1" applyProtection="1">
      <alignment horizontal="center" vertical="center" shrinkToFit="1"/>
      <protection/>
    </xf>
    <xf numFmtId="0" fontId="37" fillId="0" borderId="24" xfId="0" applyFont="1" applyFill="1" applyBorder="1" applyAlignment="1" applyProtection="1">
      <alignment horizontal="center" vertical="center" shrinkToFit="1"/>
      <protection locked="0"/>
    </xf>
    <xf numFmtId="165" fontId="0" fillId="0" borderId="36" xfId="0" applyNumberFormat="1" applyFont="1" applyFill="1" applyBorder="1" applyAlignment="1" applyProtection="1">
      <alignment horizontal="center" vertical="center" shrinkToFit="1"/>
      <protection/>
    </xf>
    <xf numFmtId="2" fontId="0" fillId="0" borderId="36" xfId="0" applyNumberFormat="1" applyFont="1" applyFill="1" applyBorder="1" applyAlignment="1" applyProtection="1">
      <alignment horizontal="center" vertical="center" shrinkToFit="1"/>
      <protection/>
    </xf>
    <xf numFmtId="166" fontId="0" fillId="0" borderId="37" xfId="0" applyNumberFormat="1" applyFont="1" applyFill="1" applyBorder="1" applyAlignment="1">
      <alignment horizontal="center" vertical="center" shrinkToFit="1"/>
    </xf>
    <xf numFmtId="165" fontId="0" fillId="0" borderId="24" xfId="0" applyNumberFormat="1" applyFont="1" applyFill="1" applyBorder="1" applyAlignment="1" applyProtection="1">
      <alignment horizontal="center" vertical="center" shrinkToFit="1"/>
      <protection/>
    </xf>
    <xf numFmtId="0" fontId="37" fillId="0" borderId="0" xfId="0" applyFont="1" applyFill="1" applyBorder="1" applyAlignment="1" applyProtection="1">
      <alignment horizontal="center" vertical="center" shrinkToFit="1"/>
      <protection/>
    </xf>
    <xf numFmtId="166" fontId="36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166" fontId="41" fillId="0" borderId="0" xfId="0" applyNumberFormat="1" applyFont="1" applyFill="1" applyBorder="1" applyAlignment="1" applyProtection="1">
      <alignment vertical="center"/>
      <protection/>
    </xf>
    <xf numFmtId="2" fontId="41" fillId="0" borderId="0" xfId="0" applyNumberFormat="1" applyFont="1" applyFill="1" applyBorder="1" applyAlignment="1" applyProtection="1">
      <alignment horizontal="center" vertical="center"/>
      <protection locked="0"/>
    </xf>
    <xf numFmtId="166" fontId="41" fillId="0" borderId="0" xfId="0" applyNumberFormat="1" applyFont="1" applyFill="1" applyBorder="1" applyAlignment="1" applyProtection="1">
      <alignment horizontal="center" vertical="center"/>
      <protection/>
    </xf>
    <xf numFmtId="166" fontId="35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38" xfId="0" applyNumberFormat="1" applyFont="1" applyFill="1" applyBorder="1" applyAlignment="1" applyProtection="1">
      <alignment horizontal="center" vertical="center" shrinkToFit="1"/>
      <protection/>
    </xf>
    <xf numFmtId="165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166" fontId="0" fillId="0" borderId="18" xfId="0" applyNumberFormat="1" applyFont="1" applyFill="1" applyBorder="1" applyAlignment="1">
      <alignment horizontal="center" vertical="center" shrinkToFit="1"/>
    </xf>
    <xf numFmtId="166" fontId="0" fillId="0" borderId="40" xfId="0" applyNumberFormat="1" applyFont="1" applyFill="1" applyBorder="1" applyAlignment="1">
      <alignment horizontal="center" vertical="center" shrinkToFit="1"/>
    </xf>
    <xf numFmtId="165" fontId="0" fillId="0" borderId="38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4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43" xfId="0" applyNumberFormat="1" applyFont="1" applyFill="1" applyBorder="1" applyAlignment="1">
      <alignment horizontal="center" vertical="center" shrinkToFit="1"/>
    </xf>
    <xf numFmtId="166" fontId="0" fillId="0" borderId="44" xfId="0" applyNumberFormat="1" applyFont="1" applyFill="1" applyBorder="1" applyAlignment="1">
      <alignment horizontal="center" vertical="center" shrinkToFit="1"/>
    </xf>
    <xf numFmtId="0" fontId="37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46" xfId="0" applyFont="1" applyFill="1" applyBorder="1" applyAlignment="1" applyProtection="1">
      <alignment horizontal="center" vertical="center" shrinkToFit="1"/>
      <protection locked="0"/>
    </xf>
    <xf numFmtId="165" fontId="0" fillId="0" borderId="4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6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>
      <alignment horizontal="center" vertical="center" shrinkToFit="1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/>
    </xf>
    <xf numFmtId="0" fontId="37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shrinkToFit="1"/>
    </xf>
    <xf numFmtId="0" fontId="0" fillId="0" borderId="24" xfId="0" applyFont="1" applyFill="1" applyBorder="1" applyAlignment="1">
      <alignment horizontal="center" vertical="center"/>
    </xf>
    <xf numFmtId="166" fontId="35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38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/>
      <protection/>
    </xf>
    <xf numFmtId="0" fontId="40" fillId="0" borderId="24" xfId="0" applyFont="1" applyFill="1" applyBorder="1" applyAlignment="1" applyProtection="1">
      <alignment horizontal="center" vertical="center" textRotation="255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/>
      <protection/>
    </xf>
    <xf numFmtId="0" fontId="16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right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tabSelected="1" zoomScale="92" zoomScaleNormal="92" zoomScalePageLayoutView="0" workbookViewId="0" topLeftCell="A1">
      <pane ySplit="5" topLeftCell="BM6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spans="1:26" ht="18.75">
      <c r="A1" s="12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13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>
      <c r="A3" s="14" t="s">
        <v>68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127" t="s">
        <v>1</v>
      </c>
      <c r="B4" s="36"/>
      <c r="C4" s="124" t="s">
        <v>46</v>
      </c>
      <c r="D4" s="124"/>
      <c r="E4" s="124"/>
      <c r="F4" s="124"/>
      <c r="G4" s="126" t="s">
        <v>47</v>
      </c>
      <c r="H4" s="126"/>
      <c r="I4" s="126"/>
      <c r="J4" s="126"/>
      <c r="K4" s="124" t="s">
        <v>48</v>
      </c>
      <c r="L4" s="124"/>
      <c r="M4" s="124"/>
      <c r="N4" s="124"/>
      <c r="O4" s="124"/>
      <c r="P4" s="124" t="s">
        <v>49</v>
      </c>
      <c r="Q4" s="124"/>
      <c r="R4" s="124"/>
      <c r="S4" s="124"/>
      <c r="T4" s="124"/>
      <c r="U4" s="124" t="s">
        <v>13</v>
      </c>
      <c r="V4" s="124"/>
      <c r="W4" s="124"/>
      <c r="X4" s="124" t="s">
        <v>12</v>
      </c>
      <c r="Y4" s="124"/>
      <c r="Z4" s="124"/>
    </row>
    <row r="5" spans="1:26" ht="12.75">
      <c r="A5" s="127"/>
      <c r="B5" s="36"/>
      <c r="C5" s="36" t="s">
        <v>50</v>
      </c>
      <c r="D5" s="36" t="s">
        <v>51</v>
      </c>
      <c r="E5" s="38" t="s">
        <v>52</v>
      </c>
      <c r="F5" s="39" t="s">
        <v>43</v>
      </c>
      <c r="G5" s="36" t="s">
        <v>51</v>
      </c>
      <c r="H5" s="36" t="s">
        <v>53</v>
      </c>
      <c r="I5" s="40" t="s">
        <v>41</v>
      </c>
      <c r="J5" s="39" t="s">
        <v>43</v>
      </c>
      <c r="K5" s="36" t="s">
        <v>23</v>
      </c>
      <c r="L5" s="36" t="s">
        <v>24</v>
      </c>
      <c r="M5" s="36" t="s">
        <v>52</v>
      </c>
      <c r="N5" s="36" t="s">
        <v>54</v>
      </c>
      <c r="O5" s="39" t="s">
        <v>43</v>
      </c>
      <c r="P5" s="36" t="s">
        <v>25</v>
      </c>
      <c r="Q5" s="36" t="s">
        <v>24</v>
      </c>
      <c r="R5" s="36" t="s">
        <v>52</v>
      </c>
      <c r="S5" s="36" t="s">
        <v>54</v>
      </c>
      <c r="T5" s="39" t="s">
        <v>43</v>
      </c>
      <c r="U5" s="36" t="s">
        <v>22</v>
      </c>
      <c r="V5" s="36" t="s">
        <v>26</v>
      </c>
      <c r="W5" s="40" t="s">
        <v>41</v>
      </c>
      <c r="X5" s="38" t="s">
        <v>22</v>
      </c>
      <c r="Y5" s="38" t="s">
        <v>26</v>
      </c>
      <c r="Z5" s="40" t="s">
        <v>41</v>
      </c>
    </row>
    <row r="6" spans="1:26" s="3" customFormat="1" ht="14.25" customHeight="1">
      <c r="A6" s="93" t="s">
        <v>57</v>
      </c>
      <c r="B6" s="41" t="s">
        <v>10</v>
      </c>
      <c r="C6" s="42">
        <v>170</v>
      </c>
      <c r="D6" s="42">
        <v>100</v>
      </c>
      <c r="E6" s="43">
        <f>C6+D6</f>
        <v>270</v>
      </c>
      <c r="F6" s="44">
        <f>E6*10%</f>
        <v>27</v>
      </c>
      <c r="G6" s="42">
        <v>73</v>
      </c>
      <c r="H6" s="42">
        <v>70</v>
      </c>
      <c r="I6" s="45">
        <f aca="true" t="shared" si="0" ref="I6:I27">(G6+H6)/2</f>
        <v>71.5</v>
      </c>
      <c r="J6" s="46">
        <f>I6*30%</f>
        <v>21.45</v>
      </c>
      <c r="K6" s="122">
        <v>74</v>
      </c>
      <c r="L6" s="122">
        <v>76</v>
      </c>
      <c r="M6" s="97">
        <f>K6+L6</f>
        <v>150</v>
      </c>
      <c r="N6" s="92">
        <f>M6/2</f>
        <v>75</v>
      </c>
      <c r="O6" s="123">
        <f>N6*15%</f>
        <v>11.25</v>
      </c>
      <c r="P6" s="122">
        <v>75</v>
      </c>
      <c r="Q6" s="122">
        <v>70</v>
      </c>
      <c r="R6" s="97">
        <f>P6+Q6</f>
        <v>145</v>
      </c>
      <c r="S6" s="92">
        <f>R6/2</f>
        <v>72.5</v>
      </c>
      <c r="T6" s="123">
        <f>S6*15%</f>
        <v>10.875</v>
      </c>
      <c r="U6" s="122">
        <v>76</v>
      </c>
      <c r="V6" s="122">
        <v>73</v>
      </c>
      <c r="W6" s="123">
        <f>SUM(U6:V6)/2</f>
        <v>74.5</v>
      </c>
      <c r="X6" s="122">
        <v>73</v>
      </c>
      <c r="Y6" s="122">
        <v>73</v>
      </c>
      <c r="Z6" s="123">
        <f>SUM(X6:Y6)/2</f>
        <v>73</v>
      </c>
    </row>
    <row r="7" spans="1:26" s="3" customFormat="1" ht="14.25" customHeight="1">
      <c r="A7" s="93"/>
      <c r="B7" s="41" t="s">
        <v>11</v>
      </c>
      <c r="C7" s="42">
        <v>165</v>
      </c>
      <c r="D7" s="42">
        <v>95</v>
      </c>
      <c r="E7" s="43">
        <f aca="true" t="shared" si="1" ref="E7:E27">C7+D7</f>
        <v>260</v>
      </c>
      <c r="F7" s="44">
        <f aca="true" t="shared" si="2" ref="F7:F27">E7*10%</f>
        <v>26</v>
      </c>
      <c r="G7" s="42">
        <v>74</v>
      </c>
      <c r="H7" s="42">
        <v>76</v>
      </c>
      <c r="I7" s="45">
        <f t="shared" si="0"/>
        <v>75</v>
      </c>
      <c r="J7" s="46">
        <f aca="true" t="shared" si="3" ref="J7:J27">I7*30%</f>
        <v>22.5</v>
      </c>
      <c r="K7" s="122"/>
      <c r="L7" s="122"/>
      <c r="M7" s="97"/>
      <c r="N7" s="92"/>
      <c r="O7" s="123"/>
      <c r="P7" s="122"/>
      <c r="Q7" s="122"/>
      <c r="R7" s="97"/>
      <c r="S7" s="92"/>
      <c r="T7" s="123"/>
      <c r="U7" s="122"/>
      <c r="V7" s="122"/>
      <c r="W7" s="123"/>
      <c r="X7" s="122"/>
      <c r="Y7" s="122"/>
      <c r="Z7" s="123"/>
    </row>
    <row r="8" spans="1:26" s="3" customFormat="1" ht="14.25" customHeight="1">
      <c r="A8" s="93" t="s">
        <v>58</v>
      </c>
      <c r="B8" s="41" t="s">
        <v>10</v>
      </c>
      <c r="C8" s="42">
        <v>195</v>
      </c>
      <c r="D8" s="42">
        <v>115</v>
      </c>
      <c r="E8" s="43">
        <f t="shared" si="1"/>
        <v>310</v>
      </c>
      <c r="F8" s="44">
        <f t="shared" si="2"/>
        <v>31</v>
      </c>
      <c r="G8" s="42">
        <v>81</v>
      </c>
      <c r="H8" s="42">
        <v>79</v>
      </c>
      <c r="I8" s="45">
        <f t="shared" si="0"/>
        <v>80</v>
      </c>
      <c r="J8" s="46">
        <f t="shared" si="3"/>
        <v>24</v>
      </c>
      <c r="K8" s="122">
        <v>82</v>
      </c>
      <c r="L8" s="122">
        <v>85</v>
      </c>
      <c r="M8" s="97">
        <f>K8+L8</f>
        <v>167</v>
      </c>
      <c r="N8" s="92">
        <f>M8/2</f>
        <v>83.5</v>
      </c>
      <c r="O8" s="123">
        <f>N8*15%</f>
        <v>12.525</v>
      </c>
      <c r="P8" s="122">
        <v>85</v>
      </c>
      <c r="Q8" s="122">
        <v>83</v>
      </c>
      <c r="R8" s="97">
        <f>P8+Q8</f>
        <v>168</v>
      </c>
      <c r="S8" s="92">
        <f>R8/2</f>
        <v>84</v>
      </c>
      <c r="T8" s="123">
        <f>S8*15%</f>
        <v>12.6</v>
      </c>
      <c r="U8" s="122">
        <v>82</v>
      </c>
      <c r="V8" s="122">
        <v>80</v>
      </c>
      <c r="W8" s="123">
        <f>SUM(U8:V8)/2</f>
        <v>81</v>
      </c>
      <c r="X8" s="122">
        <v>79</v>
      </c>
      <c r="Y8" s="122">
        <v>77</v>
      </c>
      <c r="Z8" s="123">
        <f>SUM(X8:Y8)/2</f>
        <v>78</v>
      </c>
    </row>
    <row r="9" spans="1:26" s="3" customFormat="1" ht="14.25" customHeight="1">
      <c r="A9" s="93"/>
      <c r="B9" s="41" t="s">
        <v>11</v>
      </c>
      <c r="C9" s="42">
        <v>205</v>
      </c>
      <c r="D9" s="42">
        <v>110</v>
      </c>
      <c r="E9" s="43">
        <f t="shared" si="1"/>
        <v>315</v>
      </c>
      <c r="F9" s="44">
        <f t="shared" si="2"/>
        <v>31.5</v>
      </c>
      <c r="G9" s="42">
        <v>90</v>
      </c>
      <c r="H9" s="42">
        <v>87</v>
      </c>
      <c r="I9" s="45">
        <f t="shared" si="0"/>
        <v>88.5</v>
      </c>
      <c r="J9" s="46">
        <f t="shared" si="3"/>
        <v>26.55</v>
      </c>
      <c r="K9" s="122"/>
      <c r="L9" s="122"/>
      <c r="M9" s="97"/>
      <c r="N9" s="92"/>
      <c r="O9" s="123"/>
      <c r="P9" s="122"/>
      <c r="Q9" s="122"/>
      <c r="R9" s="97"/>
      <c r="S9" s="92"/>
      <c r="T9" s="123"/>
      <c r="U9" s="122"/>
      <c r="V9" s="122"/>
      <c r="W9" s="123"/>
      <c r="X9" s="122"/>
      <c r="Y9" s="122"/>
      <c r="Z9" s="123"/>
    </row>
    <row r="10" spans="1:26" s="3" customFormat="1" ht="14.25" customHeight="1">
      <c r="A10" s="93" t="s">
        <v>59</v>
      </c>
      <c r="B10" s="41" t="s">
        <v>10</v>
      </c>
      <c r="C10" s="42">
        <v>186</v>
      </c>
      <c r="D10" s="42">
        <v>106</v>
      </c>
      <c r="E10" s="43">
        <f t="shared" si="1"/>
        <v>292</v>
      </c>
      <c r="F10" s="44">
        <f t="shared" si="2"/>
        <v>29.200000000000003</v>
      </c>
      <c r="G10" s="42">
        <v>78</v>
      </c>
      <c r="H10" s="42">
        <v>75</v>
      </c>
      <c r="I10" s="45">
        <f t="shared" si="0"/>
        <v>76.5</v>
      </c>
      <c r="J10" s="46">
        <f t="shared" si="3"/>
        <v>22.95</v>
      </c>
      <c r="K10" s="122">
        <v>80</v>
      </c>
      <c r="L10" s="122">
        <v>82</v>
      </c>
      <c r="M10" s="97">
        <f>K10+L10</f>
        <v>162</v>
      </c>
      <c r="N10" s="92">
        <f>M10/2</f>
        <v>81</v>
      </c>
      <c r="O10" s="123">
        <f>N10*15%</f>
        <v>12.15</v>
      </c>
      <c r="P10" s="122">
        <v>86</v>
      </c>
      <c r="Q10" s="122">
        <v>85</v>
      </c>
      <c r="R10" s="97">
        <f>P10+Q10</f>
        <v>171</v>
      </c>
      <c r="S10" s="92">
        <f>R10/2</f>
        <v>85.5</v>
      </c>
      <c r="T10" s="123">
        <f>S10*15%</f>
        <v>12.825</v>
      </c>
      <c r="U10" s="122">
        <v>85</v>
      </c>
      <c r="V10" s="122">
        <v>84</v>
      </c>
      <c r="W10" s="123">
        <f>SUM(U10:V10)/2</f>
        <v>84.5</v>
      </c>
      <c r="X10" s="122">
        <v>81</v>
      </c>
      <c r="Y10" s="122">
        <v>79</v>
      </c>
      <c r="Z10" s="123">
        <f>SUM(X10:Y10)/2</f>
        <v>80</v>
      </c>
    </row>
    <row r="11" spans="1:26" s="3" customFormat="1" ht="14.25" customHeight="1">
      <c r="A11" s="93"/>
      <c r="B11" s="41" t="s">
        <v>11</v>
      </c>
      <c r="C11" s="42">
        <v>171</v>
      </c>
      <c r="D11" s="42">
        <v>92</v>
      </c>
      <c r="E11" s="43">
        <f t="shared" si="1"/>
        <v>263</v>
      </c>
      <c r="F11" s="44">
        <f t="shared" si="2"/>
        <v>26.3</v>
      </c>
      <c r="G11" s="42">
        <v>80</v>
      </c>
      <c r="H11" s="42">
        <v>83</v>
      </c>
      <c r="I11" s="45">
        <f t="shared" si="0"/>
        <v>81.5</v>
      </c>
      <c r="J11" s="46">
        <f t="shared" si="3"/>
        <v>24.45</v>
      </c>
      <c r="K11" s="122"/>
      <c r="L11" s="122"/>
      <c r="M11" s="97"/>
      <c r="N11" s="92"/>
      <c r="O11" s="123"/>
      <c r="P11" s="122"/>
      <c r="Q11" s="122"/>
      <c r="R11" s="97"/>
      <c r="S11" s="92"/>
      <c r="T11" s="123"/>
      <c r="U11" s="122"/>
      <c r="V11" s="122"/>
      <c r="W11" s="123"/>
      <c r="X11" s="122"/>
      <c r="Y11" s="122"/>
      <c r="Z11" s="123"/>
    </row>
    <row r="12" spans="1:26" s="3" customFormat="1" ht="14.25" customHeight="1">
      <c r="A12" s="93" t="s">
        <v>60</v>
      </c>
      <c r="B12" s="41" t="s">
        <v>10</v>
      </c>
      <c r="C12" s="42">
        <v>208</v>
      </c>
      <c r="D12" s="42">
        <v>125</v>
      </c>
      <c r="E12" s="43">
        <f t="shared" si="1"/>
        <v>333</v>
      </c>
      <c r="F12" s="44">
        <f t="shared" si="2"/>
        <v>33.300000000000004</v>
      </c>
      <c r="G12" s="42">
        <v>76</v>
      </c>
      <c r="H12" s="42">
        <v>76</v>
      </c>
      <c r="I12" s="45">
        <f t="shared" si="0"/>
        <v>76</v>
      </c>
      <c r="J12" s="46">
        <f t="shared" si="3"/>
        <v>22.8</v>
      </c>
      <c r="K12" s="122">
        <v>77</v>
      </c>
      <c r="L12" s="122">
        <v>78</v>
      </c>
      <c r="M12" s="97">
        <f>K12+L12</f>
        <v>155</v>
      </c>
      <c r="N12" s="92">
        <f>M12/2</f>
        <v>77.5</v>
      </c>
      <c r="O12" s="123">
        <f>N12*15%</f>
        <v>11.625</v>
      </c>
      <c r="P12" s="122">
        <v>87</v>
      </c>
      <c r="Q12" s="122">
        <v>79</v>
      </c>
      <c r="R12" s="97">
        <f>P12+Q12</f>
        <v>166</v>
      </c>
      <c r="S12" s="92">
        <f>R12/2</f>
        <v>83</v>
      </c>
      <c r="T12" s="123">
        <f>S12*15%</f>
        <v>12.45</v>
      </c>
      <c r="U12" s="122">
        <v>80</v>
      </c>
      <c r="V12" s="122">
        <v>77</v>
      </c>
      <c r="W12" s="123">
        <f>SUM(U12:V12)/2</f>
        <v>78.5</v>
      </c>
      <c r="X12" s="122">
        <v>78</v>
      </c>
      <c r="Y12" s="122">
        <v>76</v>
      </c>
      <c r="Z12" s="123">
        <f>SUM(X12:Y12)/2</f>
        <v>77</v>
      </c>
    </row>
    <row r="13" spans="1:26" s="3" customFormat="1" ht="14.25" customHeight="1">
      <c r="A13" s="93"/>
      <c r="B13" s="41" t="s">
        <v>11</v>
      </c>
      <c r="C13" s="42">
        <v>173</v>
      </c>
      <c r="D13" s="42">
        <v>102</v>
      </c>
      <c r="E13" s="43">
        <f t="shared" si="1"/>
        <v>275</v>
      </c>
      <c r="F13" s="44">
        <f t="shared" si="2"/>
        <v>27.5</v>
      </c>
      <c r="G13" s="42">
        <v>86</v>
      </c>
      <c r="H13" s="42">
        <v>85</v>
      </c>
      <c r="I13" s="45">
        <f t="shared" si="0"/>
        <v>85.5</v>
      </c>
      <c r="J13" s="46">
        <f t="shared" si="3"/>
        <v>25.65</v>
      </c>
      <c r="K13" s="122"/>
      <c r="L13" s="122"/>
      <c r="M13" s="97"/>
      <c r="N13" s="92"/>
      <c r="O13" s="123"/>
      <c r="P13" s="122"/>
      <c r="Q13" s="122"/>
      <c r="R13" s="97"/>
      <c r="S13" s="92"/>
      <c r="T13" s="123"/>
      <c r="U13" s="122"/>
      <c r="V13" s="122"/>
      <c r="W13" s="123"/>
      <c r="X13" s="122"/>
      <c r="Y13" s="122"/>
      <c r="Z13" s="123"/>
    </row>
    <row r="14" spans="1:26" s="3" customFormat="1" ht="14.25" customHeight="1">
      <c r="A14" s="93" t="s">
        <v>61</v>
      </c>
      <c r="B14" s="41" t="s">
        <v>10</v>
      </c>
      <c r="C14" s="42">
        <v>182</v>
      </c>
      <c r="D14" s="42">
        <v>117</v>
      </c>
      <c r="E14" s="43">
        <f t="shared" si="1"/>
        <v>299</v>
      </c>
      <c r="F14" s="44">
        <f t="shared" si="2"/>
        <v>29.900000000000002</v>
      </c>
      <c r="G14" s="42">
        <v>74</v>
      </c>
      <c r="H14" s="42">
        <v>72</v>
      </c>
      <c r="I14" s="45">
        <f t="shared" si="0"/>
        <v>73</v>
      </c>
      <c r="J14" s="46">
        <f t="shared" si="3"/>
        <v>21.9</v>
      </c>
      <c r="K14" s="122">
        <v>79</v>
      </c>
      <c r="L14" s="122">
        <v>77</v>
      </c>
      <c r="M14" s="97">
        <f>K14+L14</f>
        <v>156</v>
      </c>
      <c r="N14" s="92">
        <f>M14/2</f>
        <v>78</v>
      </c>
      <c r="O14" s="123">
        <f>N14*15%</f>
        <v>11.7</v>
      </c>
      <c r="P14" s="122">
        <v>79</v>
      </c>
      <c r="Q14" s="122">
        <v>75</v>
      </c>
      <c r="R14" s="97">
        <f>P14+Q14</f>
        <v>154</v>
      </c>
      <c r="S14" s="92">
        <f>R14/2</f>
        <v>77</v>
      </c>
      <c r="T14" s="123">
        <f>S14*15%</f>
        <v>11.549999999999999</v>
      </c>
      <c r="U14" s="122">
        <v>83</v>
      </c>
      <c r="V14" s="122">
        <v>81</v>
      </c>
      <c r="W14" s="123">
        <f>SUM(U14:V14)/2</f>
        <v>82</v>
      </c>
      <c r="X14" s="122">
        <v>76</v>
      </c>
      <c r="Y14" s="122">
        <v>75</v>
      </c>
      <c r="Z14" s="123">
        <f>SUM(X14:Y14)/2</f>
        <v>75.5</v>
      </c>
    </row>
    <row r="15" spans="1:26" s="3" customFormat="1" ht="14.25" customHeight="1">
      <c r="A15" s="93"/>
      <c r="B15" s="41" t="s">
        <v>11</v>
      </c>
      <c r="C15" s="42">
        <v>158</v>
      </c>
      <c r="D15" s="42">
        <v>100</v>
      </c>
      <c r="E15" s="43">
        <f t="shared" si="1"/>
        <v>258</v>
      </c>
      <c r="F15" s="44">
        <f t="shared" si="2"/>
        <v>25.8</v>
      </c>
      <c r="G15" s="42">
        <v>77</v>
      </c>
      <c r="H15" s="42">
        <v>77</v>
      </c>
      <c r="I15" s="45">
        <f t="shared" si="0"/>
        <v>77</v>
      </c>
      <c r="J15" s="46">
        <f t="shared" si="3"/>
        <v>23.099999999999998</v>
      </c>
      <c r="K15" s="122"/>
      <c r="L15" s="122"/>
      <c r="M15" s="97"/>
      <c r="N15" s="92"/>
      <c r="O15" s="123"/>
      <c r="P15" s="122"/>
      <c r="Q15" s="122"/>
      <c r="R15" s="97"/>
      <c r="S15" s="92"/>
      <c r="T15" s="123"/>
      <c r="U15" s="122"/>
      <c r="V15" s="122"/>
      <c r="W15" s="123"/>
      <c r="X15" s="122"/>
      <c r="Y15" s="122"/>
      <c r="Z15" s="123"/>
    </row>
    <row r="16" spans="1:26" s="3" customFormat="1" ht="14.25" customHeight="1">
      <c r="A16" s="93" t="s">
        <v>62</v>
      </c>
      <c r="B16" s="41" t="s">
        <v>10</v>
      </c>
      <c r="C16" s="42">
        <v>179</v>
      </c>
      <c r="D16" s="42">
        <v>109</v>
      </c>
      <c r="E16" s="43">
        <f t="shared" si="1"/>
        <v>288</v>
      </c>
      <c r="F16" s="44">
        <f t="shared" si="2"/>
        <v>28.8</v>
      </c>
      <c r="G16" s="42">
        <v>75</v>
      </c>
      <c r="H16" s="42">
        <v>73</v>
      </c>
      <c r="I16" s="45">
        <f t="shared" si="0"/>
        <v>74</v>
      </c>
      <c r="J16" s="46">
        <f t="shared" si="3"/>
        <v>22.2</v>
      </c>
      <c r="K16" s="122">
        <v>75</v>
      </c>
      <c r="L16" s="122">
        <v>79</v>
      </c>
      <c r="M16" s="97">
        <f>K16+L16</f>
        <v>154</v>
      </c>
      <c r="N16" s="92">
        <f>M16/2</f>
        <v>77</v>
      </c>
      <c r="O16" s="123">
        <f>N16*15%</f>
        <v>11.549999999999999</v>
      </c>
      <c r="P16" s="122">
        <v>81</v>
      </c>
      <c r="Q16" s="122">
        <v>77</v>
      </c>
      <c r="R16" s="97">
        <f>P16+Q16</f>
        <v>158</v>
      </c>
      <c r="S16" s="92">
        <f>R16/2</f>
        <v>79</v>
      </c>
      <c r="T16" s="123">
        <f>S16*15%</f>
        <v>11.85</v>
      </c>
      <c r="U16" s="122">
        <v>78</v>
      </c>
      <c r="V16" s="122">
        <v>75</v>
      </c>
      <c r="W16" s="123">
        <f>SUM(U16:V16)/2</f>
        <v>76.5</v>
      </c>
      <c r="X16" s="122">
        <v>83</v>
      </c>
      <c r="Y16" s="122">
        <v>81</v>
      </c>
      <c r="Z16" s="123">
        <f>SUM(X16:Y16)/2</f>
        <v>82</v>
      </c>
    </row>
    <row r="17" spans="1:26" s="3" customFormat="1" ht="14.25" customHeight="1">
      <c r="A17" s="93"/>
      <c r="B17" s="41" t="s">
        <v>11</v>
      </c>
      <c r="C17" s="42">
        <v>164</v>
      </c>
      <c r="D17" s="42">
        <v>91</v>
      </c>
      <c r="E17" s="43">
        <f t="shared" si="1"/>
        <v>255</v>
      </c>
      <c r="F17" s="44">
        <f t="shared" si="2"/>
        <v>25.5</v>
      </c>
      <c r="G17" s="42">
        <v>79</v>
      </c>
      <c r="H17" s="42">
        <v>78</v>
      </c>
      <c r="I17" s="45">
        <f t="shared" si="0"/>
        <v>78.5</v>
      </c>
      <c r="J17" s="46">
        <f t="shared" si="3"/>
        <v>23.55</v>
      </c>
      <c r="K17" s="122"/>
      <c r="L17" s="122"/>
      <c r="M17" s="97"/>
      <c r="N17" s="92"/>
      <c r="O17" s="123"/>
      <c r="P17" s="122"/>
      <c r="Q17" s="122"/>
      <c r="R17" s="97"/>
      <c r="S17" s="92"/>
      <c r="T17" s="123"/>
      <c r="U17" s="122"/>
      <c r="V17" s="122"/>
      <c r="W17" s="123"/>
      <c r="X17" s="122"/>
      <c r="Y17" s="122"/>
      <c r="Z17" s="123"/>
    </row>
    <row r="18" spans="1:26" s="3" customFormat="1" ht="14.25" customHeight="1">
      <c r="A18" s="93" t="s">
        <v>63</v>
      </c>
      <c r="B18" s="41" t="s">
        <v>10</v>
      </c>
      <c r="C18" s="42">
        <v>177</v>
      </c>
      <c r="D18" s="42">
        <v>105</v>
      </c>
      <c r="E18" s="43">
        <f t="shared" si="1"/>
        <v>282</v>
      </c>
      <c r="F18" s="44">
        <f t="shared" si="2"/>
        <v>28.200000000000003</v>
      </c>
      <c r="G18" s="42">
        <v>71</v>
      </c>
      <c r="H18" s="42">
        <v>69</v>
      </c>
      <c r="I18" s="45">
        <f t="shared" si="0"/>
        <v>70</v>
      </c>
      <c r="J18" s="46">
        <f t="shared" si="3"/>
        <v>21</v>
      </c>
      <c r="K18" s="122">
        <v>78</v>
      </c>
      <c r="L18" s="122">
        <v>74</v>
      </c>
      <c r="M18" s="97">
        <f>K18+L18</f>
        <v>152</v>
      </c>
      <c r="N18" s="92">
        <f>M18/2</f>
        <v>76</v>
      </c>
      <c r="O18" s="123">
        <f>N18*15%</f>
        <v>11.4</v>
      </c>
      <c r="P18" s="122">
        <v>78</v>
      </c>
      <c r="Q18" s="122">
        <v>74</v>
      </c>
      <c r="R18" s="97">
        <f>P18+Q18</f>
        <v>152</v>
      </c>
      <c r="S18" s="92">
        <f>R18/2</f>
        <v>76</v>
      </c>
      <c r="T18" s="123">
        <f>S18*15%</f>
        <v>11.4</v>
      </c>
      <c r="U18" s="122">
        <v>74</v>
      </c>
      <c r="V18" s="122">
        <v>72</v>
      </c>
      <c r="W18" s="123">
        <f>SUM(U18:V18)/2</f>
        <v>73</v>
      </c>
      <c r="X18" s="122">
        <v>75</v>
      </c>
      <c r="Y18" s="122">
        <v>78</v>
      </c>
      <c r="Z18" s="123">
        <f>SUM(X18:Y18)/2</f>
        <v>76.5</v>
      </c>
    </row>
    <row r="19" spans="1:26" s="3" customFormat="1" ht="14.25" customHeight="1">
      <c r="A19" s="93"/>
      <c r="B19" s="41" t="s">
        <v>11</v>
      </c>
      <c r="C19" s="42">
        <v>156</v>
      </c>
      <c r="D19" s="42">
        <v>93</v>
      </c>
      <c r="E19" s="43">
        <f t="shared" si="1"/>
        <v>249</v>
      </c>
      <c r="F19" s="44">
        <f t="shared" si="2"/>
        <v>24.900000000000002</v>
      </c>
      <c r="G19" s="42">
        <v>74</v>
      </c>
      <c r="H19" s="42">
        <v>73</v>
      </c>
      <c r="I19" s="45">
        <f t="shared" si="0"/>
        <v>73.5</v>
      </c>
      <c r="J19" s="46">
        <f t="shared" si="3"/>
        <v>22.05</v>
      </c>
      <c r="K19" s="122"/>
      <c r="L19" s="122"/>
      <c r="M19" s="97"/>
      <c r="N19" s="92"/>
      <c r="O19" s="123"/>
      <c r="P19" s="122"/>
      <c r="Q19" s="122"/>
      <c r="R19" s="97"/>
      <c r="S19" s="92"/>
      <c r="T19" s="123"/>
      <c r="U19" s="122"/>
      <c r="V19" s="122"/>
      <c r="W19" s="123"/>
      <c r="X19" s="122"/>
      <c r="Y19" s="122"/>
      <c r="Z19" s="123"/>
    </row>
    <row r="20" spans="1:26" s="3" customFormat="1" ht="14.25" customHeight="1">
      <c r="A20" s="93" t="s">
        <v>64</v>
      </c>
      <c r="B20" s="41" t="s">
        <v>10</v>
      </c>
      <c r="C20" s="42">
        <v>167</v>
      </c>
      <c r="D20" s="42">
        <v>95</v>
      </c>
      <c r="E20" s="43">
        <f t="shared" si="1"/>
        <v>262</v>
      </c>
      <c r="F20" s="44">
        <f t="shared" si="2"/>
        <v>26.200000000000003</v>
      </c>
      <c r="G20" s="42">
        <v>70</v>
      </c>
      <c r="H20" s="42">
        <v>67</v>
      </c>
      <c r="I20" s="45">
        <f t="shared" si="0"/>
        <v>68.5</v>
      </c>
      <c r="J20" s="46">
        <f t="shared" si="3"/>
        <v>20.55</v>
      </c>
      <c r="K20" s="122">
        <v>76</v>
      </c>
      <c r="L20" s="122">
        <v>75</v>
      </c>
      <c r="M20" s="97">
        <f>K20+L20</f>
        <v>151</v>
      </c>
      <c r="N20" s="92">
        <f>M20/2</f>
        <v>75.5</v>
      </c>
      <c r="O20" s="123">
        <f>N20*15%</f>
        <v>11.325</v>
      </c>
      <c r="P20" s="122">
        <v>79</v>
      </c>
      <c r="Q20" s="122">
        <v>77</v>
      </c>
      <c r="R20" s="97">
        <f>P20+Q20</f>
        <v>156</v>
      </c>
      <c r="S20" s="92">
        <f>R20/2</f>
        <v>78</v>
      </c>
      <c r="T20" s="123">
        <f>S20*15%</f>
        <v>11.7</v>
      </c>
      <c r="U20" s="122">
        <v>79</v>
      </c>
      <c r="V20" s="122">
        <v>76</v>
      </c>
      <c r="W20" s="123">
        <f>SUM(U20:V20)/2</f>
        <v>77.5</v>
      </c>
      <c r="X20" s="122">
        <v>72</v>
      </c>
      <c r="Y20" s="122">
        <v>80</v>
      </c>
      <c r="Z20" s="123">
        <f>SUM(X20:Y20)/2</f>
        <v>76</v>
      </c>
    </row>
    <row r="21" spans="1:26" s="3" customFormat="1" ht="14.25" customHeight="1">
      <c r="A21" s="93"/>
      <c r="B21" s="41" t="s">
        <v>11</v>
      </c>
      <c r="C21" s="42">
        <v>162</v>
      </c>
      <c r="D21" s="42">
        <v>94</v>
      </c>
      <c r="E21" s="43">
        <f t="shared" si="1"/>
        <v>256</v>
      </c>
      <c r="F21" s="44">
        <f t="shared" si="2"/>
        <v>25.6</v>
      </c>
      <c r="G21" s="42">
        <v>76</v>
      </c>
      <c r="H21" s="42">
        <v>77</v>
      </c>
      <c r="I21" s="45">
        <f t="shared" si="0"/>
        <v>76.5</v>
      </c>
      <c r="J21" s="46">
        <f t="shared" si="3"/>
        <v>22.95</v>
      </c>
      <c r="K21" s="122"/>
      <c r="L21" s="122"/>
      <c r="M21" s="97"/>
      <c r="N21" s="92"/>
      <c r="O21" s="123"/>
      <c r="P21" s="122"/>
      <c r="Q21" s="122"/>
      <c r="R21" s="97"/>
      <c r="S21" s="92"/>
      <c r="T21" s="123"/>
      <c r="U21" s="122"/>
      <c r="V21" s="122"/>
      <c r="W21" s="123"/>
      <c r="X21" s="122"/>
      <c r="Y21" s="122"/>
      <c r="Z21" s="123"/>
    </row>
    <row r="22" spans="1:26" s="3" customFormat="1" ht="14.25" customHeight="1">
      <c r="A22" s="93" t="s">
        <v>65</v>
      </c>
      <c r="B22" s="41" t="s">
        <v>10</v>
      </c>
      <c r="C22" s="42">
        <v>184</v>
      </c>
      <c r="D22" s="42">
        <v>105</v>
      </c>
      <c r="E22" s="43">
        <f t="shared" si="1"/>
        <v>289</v>
      </c>
      <c r="F22" s="44">
        <f t="shared" si="2"/>
        <v>28.900000000000002</v>
      </c>
      <c r="G22" s="42">
        <v>73</v>
      </c>
      <c r="H22" s="42">
        <v>72</v>
      </c>
      <c r="I22" s="45">
        <f t="shared" si="0"/>
        <v>72.5</v>
      </c>
      <c r="J22" s="46">
        <f t="shared" si="3"/>
        <v>21.75</v>
      </c>
      <c r="K22" s="122">
        <v>72</v>
      </c>
      <c r="L22" s="122">
        <v>81</v>
      </c>
      <c r="M22" s="97">
        <f>K22+L22</f>
        <v>153</v>
      </c>
      <c r="N22" s="92">
        <f>M22/2</f>
        <v>76.5</v>
      </c>
      <c r="O22" s="123">
        <f>N22*15%</f>
        <v>11.475</v>
      </c>
      <c r="P22" s="122">
        <v>80</v>
      </c>
      <c r="Q22" s="122">
        <v>82</v>
      </c>
      <c r="R22" s="97">
        <f>P22+Q22</f>
        <v>162</v>
      </c>
      <c r="S22" s="92">
        <f>R22/2</f>
        <v>81</v>
      </c>
      <c r="T22" s="123">
        <f>S22*15%</f>
        <v>12.15</v>
      </c>
      <c r="U22" s="122">
        <v>81</v>
      </c>
      <c r="V22" s="122">
        <v>79</v>
      </c>
      <c r="W22" s="123">
        <f>SUM(U22:V22)/2</f>
        <v>80</v>
      </c>
      <c r="X22" s="122">
        <v>71</v>
      </c>
      <c r="Y22" s="122">
        <v>72</v>
      </c>
      <c r="Z22" s="123">
        <f>SUM(X22:Y22)/2</f>
        <v>71.5</v>
      </c>
    </row>
    <row r="23" spans="1:26" s="3" customFormat="1" ht="14.25" customHeight="1">
      <c r="A23" s="93"/>
      <c r="B23" s="41" t="s">
        <v>11</v>
      </c>
      <c r="C23" s="42">
        <v>173</v>
      </c>
      <c r="D23" s="42">
        <v>100</v>
      </c>
      <c r="E23" s="43">
        <f t="shared" si="1"/>
        <v>273</v>
      </c>
      <c r="F23" s="44">
        <f t="shared" si="2"/>
        <v>27.3</v>
      </c>
      <c r="G23" s="42">
        <v>75</v>
      </c>
      <c r="H23" s="42">
        <v>74</v>
      </c>
      <c r="I23" s="45">
        <f t="shared" si="0"/>
        <v>74.5</v>
      </c>
      <c r="J23" s="46">
        <f t="shared" si="3"/>
        <v>22.349999999999998</v>
      </c>
      <c r="K23" s="122"/>
      <c r="L23" s="122"/>
      <c r="M23" s="97"/>
      <c r="N23" s="92"/>
      <c r="O23" s="123"/>
      <c r="P23" s="122"/>
      <c r="Q23" s="122"/>
      <c r="R23" s="97"/>
      <c r="S23" s="92"/>
      <c r="T23" s="123"/>
      <c r="U23" s="122"/>
      <c r="V23" s="122"/>
      <c r="W23" s="123"/>
      <c r="X23" s="122"/>
      <c r="Y23" s="122"/>
      <c r="Z23" s="123"/>
    </row>
    <row r="24" spans="1:26" s="3" customFormat="1" ht="14.25" customHeight="1">
      <c r="A24" s="93" t="s">
        <v>66</v>
      </c>
      <c r="B24" s="41" t="s">
        <v>10</v>
      </c>
      <c r="C24" s="42">
        <v>187</v>
      </c>
      <c r="D24" s="42">
        <v>118</v>
      </c>
      <c r="E24" s="43">
        <f t="shared" si="1"/>
        <v>305</v>
      </c>
      <c r="F24" s="44">
        <f t="shared" si="2"/>
        <v>30.5</v>
      </c>
      <c r="G24" s="42">
        <v>77</v>
      </c>
      <c r="H24" s="42">
        <v>77</v>
      </c>
      <c r="I24" s="45">
        <f t="shared" si="0"/>
        <v>77</v>
      </c>
      <c r="J24" s="46">
        <f t="shared" si="3"/>
        <v>23.099999999999998</v>
      </c>
      <c r="K24" s="122">
        <v>83</v>
      </c>
      <c r="L24" s="122">
        <v>80</v>
      </c>
      <c r="M24" s="97">
        <f>K24+L24</f>
        <v>163</v>
      </c>
      <c r="N24" s="92">
        <f>M24/2</f>
        <v>81.5</v>
      </c>
      <c r="O24" s="123">
        <f>N24*15%</f>
        <v>12.225</v>
      </c>
      <c r="P24" s="122">
        <v>82</v>
      </c>
      <c r="Q24" s="122">
        <v>78</v>
      </c>
      <c r="R24" s="97">
        <f>P24+Q24</f>
        <v>160</v>
      </c>
      <c r="S24" s="92">
        <f>R24/2</f>
        <v>80</v>
      </c>
      <c r="T24" s="123">
        <f>S24*15%</f>
        <v>12</v>
      </c>
      <c r="U24" s="122">
        <v>79</v>
      </c>
      <c r="V24" s="122">
        <v>79</v>
      </c>
      <c r="W24" s="123">
        <f>SUM(U24:V24)/2</f>
        <v>79</v>
      </c>
      <c r="X24" s="122">
        <v>74</v>
      </c>
      <c r="Y24" s="122">
        <v>74</v>
      </c>
      <c r="Z24" s="123">
        <f>SUM(X24:Y24)/2</f>
        <v>74</v>
      </c>
    </row>
    <row r="25" spans="1:26" s="3" customFormat="1" ht="14.25" customHeight="1">
      <c r="A25" s="93"/>
      <c r="B25" s="41" t="s">
        <v>11</v>
      </c>
      <c r="C25" s="42">
        <v>154</v>
      </c>
      <c r="D25" s="42">
        <v>108</v>
      </c>
      <c r="E25" s="43">
        <f t="shared" si="1"/>
        <v>262</v>
      </c>
      <c r="F25" s="44">
        <f t="shared" si="2"/>
        <v>26.200000000000003</v>
      </c>
      <c r="G25" s="42">
        <v>77</v>
      </c>
      <c r="H25" s="42">
        <v>78</v>
      </c>
      <c r="I25" s="45">
        <f t="shared" si="0"/>
        <v>77.5</v>
      </c>
      <c r="J25" s="46">
        <f t="shared" si="3"/>
        <v>23.25</v>
      </c>
      <c r="K25" s="122"/>
      <c r="L25" s="122"/>
      <c r="M25" s="97"/>
      <c r="N25" s="92"/>
      <c r="O25" s="123"/>
      <c r="P25" s="122"/>
      <c r="Q25" s="122"/>
      <c r="R25" s="97"/>
      <c r="S25" s="92"/>
      <c r="T25" s="123"/>
      <c r="U25" s="122"/>
      <c r="V25" s="122"/>
      <c r="W25" s="123"/>
      <c r="X25" s="122"/>
      <c r="Y25" s="122"/>
      <c r="Z25" s="123"/>
    </row>
    <row r="26" spans="1:26" s="3" customFormat="1" ht="14.25" customHeight="1">
      <c r="A26" s="93" t="s">
        <v>67</v>
      </c>
      <c r="B26" s="41" t="s">
        <v>10</v>
      </c>
      <c r="C26" s="42">
        <v>194</v>
      </c>
      <c r="D26" s="42">
        <v>122</v>
      </c>
      <c r="E26" s="43">
        <f t="shared" si="1"/>
        <v>316</v>
      </c>
      <c r="F26" s="44">
        <f t="shared" si="2"/>
        <v>31.6</v>
      </c>
      <c r="G26" s="42">
        <v>75</v>
      </c>
      <c r="H26" s="42">
        <v>75</v>
      </c>
      <c r="I26" s="45">
        <f t="shared" si="0"/>
        <v>75</v>
      </c>
      <c r="J26" s="46">
        <f t="shared" si="3"/>
        <v>22.5</v>
      </c>
      <c r="K26" s="122">
        <v>86</v>
      </c>
      <c r="L26" s="122">
        <v>84</v>
      </c>
      <c r="M26" s="97">
        <f>K26+L26</f>
        <v>170</v>
      </c>
      <c r="N26" s="92">
        <f>M26/2</f>
        <v>85</v>
      </c>
      <c r="O26" s="123">
        <f>N26*15%</f>
        <v>12.75</v>
      </c>
      <c r="P26" s="122">
        <v>88</v>
      </c>
      <c r="Q26" s="122">
        <v>84</v>
      </c>
      <c r="R26" s="97">
        <f>P26+Q26</f>
        <v>172</v>
      </c>
      <c r="S26" s="92">
        <f>R26/2</f>
        <v>86</v>
      </c>
      <c r="T26" s="123">
        <f>S26*15%</f>
        <v>12.9</v>
      </c>
      <c r="U26" s="122">
        <v>84</v>
      </c>
      <c r="V26" s="122">
        <v>82</v>
      </c>
      <c r="W26" s="123">
        <f>SUM(U26:V26)/2</f>
        <v>83</v>
      </c>
      <c r="X26" s="122">
        <v>87</v>
      </c>
      <c r="Y26" s="122">
        <v>83</v>
      </c>
      <c r="Z26" s="123">
        <f>SUM(X26:Y26)/2</f>
        <v>85</v>
      </c>
    </row>
    <row r="27" spans="1:26" s="3" customFormat="1" ht="14.25" customHeight="1">
      <c r="A27" s="93"/>
      <c r="B27" s="41" t="s">
        <v>11</v>
      </c>
      <c r="C27" s="42">
        <v>200</v>
      </c>
      <c r="D27" s="42">
        <v>103</v>
      </c>
      <c r="E27" s="43">
        <f t="shared" si="1"/>
        <v>303</v>
      </c>
      <c r="F27" s="44">
        <f t="shared" si="2"/>
        <v>30.3</v>
      </c>
      <c r="G27" s="42">
        <v>82</v>
      </c>
      <c r="H27" s="42">
        <v>84</v>
      </c>
      <c r="I27" s="45">
        <f t="shared" si="0"/>
        <v>83</v>
      </c>
      <c r="J27" s="46">
        <f t="shared" si="3"/>
        <v>24.9</v>
      </c>
      <c r="K27" s="122"/>
      <c r="L27" s="122"/>
      <c r="M27" s="97"/>
      <c r="N27" s="92"/>
      <c r="O27" s="123"/>
      <c r="P27" s="122"/>
      <c r="Q27" s="122"/>
      <c r="R27" s="97"/>
      <c r="S27" s="92"/>
      <c r="T27" s="123"/>
      <c r="U27" s="122"/>
      <c r="V27" s="122"/>
      <c r="W27" s="123"/>
      <c r="X27" s="122"/>
      <c r="Y27" s="122"/>
      <c r="Z27" s="123"/>
    </row>
    <row r="28" spans="1:26" s="3" customFormat="1" ht="14.25" customHeight="1" hidden="1" thickTop="1">
      <c r="A28" s="125"/>
      <c r="B28" s="29"/>
      <c r="C28" s="30"/>
      <c r="D28" s="31"/>
      <c r="E28" s="32"/>
      <c r="F28" s="33"/>
      <c r="G28" s="30"/>
      <c r="H28" s="31"/>
      <c r="I28" s="34"/>
      <c r="J28" s="35"/>
      <c r="K28" s="119"/>
      <c r="L28" s="120"/>
      <c r="M28" s="94"/>
      <c r="N28" s="95"/>
      <c r="O28" s="96"/>
      <c r="P28" s="119"/>
      <c r="Q28" s="120"/>
      <c r="R28" s="94"/>
      <c r="S28" s="95"/>
      <c r="T28" s="96"/>
      <c r="U28" s="119"/>
      <c r="V28" s="120"/>
      <c r="W28" s="121"/>
      <c r="X28" s="119"/>
      <c r="Y28" s="120"/>
      <c r="Z28" s="121"/>
    </row>
    <row r="29" spans="1:26" s="3" customFormat="1" ht="14.25" customHeight="1" hidden="1" thickBot="1">
      <c r="A29" s="118"/>
      <c r="B29" s="21"/>
      <c r="C29" s="22"/>
      <c r="D29" s="23"/>
      <c r="E29" s="24"/>
      <c r="F29" s="25"/>
      <c r="G29" s="22"/>
      <c r="H29" s="23"/>
      <c r="I29" s="26"/>
      <c r="J29" s="27"/>
      <c r="K29" s="114"/>
      <c r="L29" s="112"/>
      <c r="M29" s="106"/>
      <c r="N29" s="108"/>
      <c r="O29" s="116"/>
      <c r="P29" s="114"/>
      <c r="Q29" s="112"/>
      <c r="R29" s="106"/>
      <c r="S29" s="108"/>
      <c r="T29" s="116"/>
      <c r="U29" s="114"/>
      <c r="V29" s="112"/>
      <c r="W29" s="110"/>
      <c r="X29" s="114"/>
      <c r="Y29" s="112"/>
      <c r="Z29" s="110"/>
    </row>
    <row r="30" spans="1:26" s="3" customFormat="1" ht="14.25" customHeight="1" hidden="1" thickTop="1">
      <c r="A30" s="117"/>
      <c r="B30" s="15"/>
      <c r="C30" s="16"/>
      <c r="D30" s="17"/>
      <c r="E30" s="18"/>
      <c r="F30" s="28"/>
      <c r="G30" s="16"/>
      <c r="H30" s="17"/>
      <c r="I30" s="19"/>
      <c r="J30" s="20"/>
      <c r="K30" s="113"/>
      <c r="L30" s="111"/>
      <c r="M30" s="105"/>
      <c r="N30" s="107"/>
      <c r="O30" s="115"/>
      <c r="P30" s="113"/>
      <c r="Q30" s="111"/>
      <c r="R30" s="105"/>
      <c r="S30" s="107"/>
      <c r="T30" s="115"/>
      <c r="U30" s="113"/>
      <c r="V30" s="111"/>
      <c r="W30" s="109"/>
      <c r="X30" s="113"/>
      <c r="Y30" s="111"/>
      <c r="Z30" s="109"/>
    </row>
    <row r="31" spans="1:26" s="3" customFormat="1" ht="14.25" customHeight="1" hidden="1" thickBot="1">
      <c r="A31" s="118"/>
      <c r="B31" s="21"/>
      <c r="C31" s="22"/>
      <c r="D31" s="23"/>
      <c r="E31" s="24"/>
      <c r="F31" s="25"/>
      <c r="G31" s="22"/>
      <c r="H31" s="23"/>
      <c r="I31" s="26"/>
      <c r="J31" s="27"/>
      <c r="K31" s="114"/>
      <c r="L31" s="112"/>
      <c r="M31" s="106"/>
      <c r="N31" s="108"/>
      <c r="O31" s="116"/>
      <c r="P31" s="114"/>
      <c r="Q31" s="112"/>
      <c r="R31" s="106"/>
      <c r="S31" s="108"/>
      <c r="T31" s="116"/>
      <c r="U31" s="114"/>
      <c r="V31" s="112"/>
      <c r="W31" s="110"/>
      <c r="X31" s="114"/>
      <c r="Y31" s="112"/>
      <c r="Z31" s="110"/>
    </row>
    <row r="32" spans="1:26" s="3" customFormat="1" ht="14.25" customHeight="1" hidden="1" thickTop="1">
      <c r="A32" s="117"/>
      <c r="B32" s="15"/>
      <c r="C32" s="16"/>
      <c r="D32" s="17"/>
      <c r="E32" s="18"/>
      <c r="F32" s="28"/>
      <c r="G32" s="16"/>
      <c r="H32" s="17"/>
      <c r="I32" s="19"/>
      <c r="J32" s="20"/>
      <c r="K32" s="113"/>
      <c r="L32" s="111"/>
      <c r="M32" s="105"/>
      <c r="N32" s="107"/>
      <c r="O32" s="115"/>
      <c r="P32" s="113"/>
      <c r="Q32" s="111"/>
      <c r="R32" s="105"/>
      <c r="S32" s="107"/>
      <c r="T32" s="115"/>
      <c r="U32" s="113"/>
      <c r="V32" s="111"/>
      <c r="W32" s="109"/>
      <c r="X32" s="113"/>
      <c r="Y32" s="111"/>
      <c r="Z32" s="109"/>
    </row>
    <row r="33" spans="1:26" s="3" customFormat="1" ht="14.25" customHeight="1" hidden="1" thickBot="1">
      <c r="A33" s="118"/>
      <c r="B33" s="21"/>
      <c r="C33" s="22"/>
      <c r="D33" s="23"/>
      <c r="E33" s="24"/>
      <c r="F33" s="25"/>
      <c r="G33" s="22"/>
      <c r="H33" s="23"/>
      <c r="I33" s="26"/>
      <c r="J33" s="27"/>
      <c r="K33" s="114"/>
      <c r="L33" s="112"/>
      <c r="M33" s="106"/>
      <c r="N33" s="108"/>
      <c r="O33" s="116"/>
      <c r="P33" s="114"/>
      <c r="Q33" s="112"/>
      <c r="R33" s="106"/>
      <c r="S33" s="108"/>
      <c r="T33" s="116"/>
      <c r="U33" s="114"/>
      <c r="V33" s="112"/>
      <c r="W33" s="110"/>
      <c r="X33" s="114"/>
      <c r="Y33" s="112"/>
      <c r="Z33" s="110"/>
    </row>
    <row r="34" spans="1:26" ht="14.25" customHeight="1" hidden="1" thickTop="1">
      <c r="A34" s="117"/>
      <c r="B34" s="15"/>
      <c r="C34" s="16"/>
      <c r="D34" s="17"/>
      <c r="E34" s="18"/>
      <c r="F34" s="28"/>
      <c r="G34" s="16"/>
      <c r="H34" s="17"/>
      <c r="I34" s="19"/>
      <c r="J34" s="20"/>
      <c r="K34" s="113"/>
      <c r="L34" s="111"/>
      <c r="M34" s="105"/>
      <c r="N34" s="107"/>
      <c r="O34" s="115"/>
      <c r="P34" s="113"/>
      <c r="Q34" s="111"/>
      <c r="R34" s="105"/>
      <c r="S34" s="107"/>
      <c r="T34" s="115"/>
      <c r="U34" s="113"/>
      <c r="V34" s="111"/>
      <c r="W34" s="109"/>
      <c r="X34" s="113"/>
      <c r="Y34" s="111"/>
      <c r="Z34" s="109"/>
    </row>
    <row r="35" spans="1:26" ht="14.25" customHeight="1" hidden="1" thickBot="1">
      <c r="A35" s="118"/>
      <c r="B35" s="21"/>
      <c r="C35" s="22"/>
      <c r="D35" s="23"/>
      <c r="E35" s="24"/>
      <c r="F35" s="25"/>
      <c r="G35" s="22"/>
      <c r="H35" s="23"/>
      <c r="I35" s="26"/>
      <c r="J35" s="27"/>
      <c r="K35" s="114"/>
      <c r="L35" s="112"/>
      <c r="M35" s="106"/>
      <c r="N35" s="108"/>
      <c r="O35" s="116"/>
      <c r="P35" s="114"/>
      <c r="Q35" s="112"/>
      <c r="R35" s="106"/>
      <c r="S35" s="108"/>
      <c r="T35" s="116"/>
      <c r="U35" s="114"/>
      <c r="V35" s="112"/>
      <c r="W35" s="110"/>
      <c r="X35" s="114"/>
      <c r="Y35" s="112"/>
      <c r="Z35" s="110"/>
    </row>
    <row r="36" spans="1:26" ht="14.25" customHeight="1" hidden="1" thickTop="1">
      <c r="A36" s="117"/>
      <c r="B36" s="15"/>
      <c r="C36" s="16"/>
      <c r="D36" s="17"/>
      <c r="E36" s="18"/>
      <c r="F36" s="28"/>
      <c r="G36" s="16"/>
      <c r="H36" s="17"/>
      <c r="I36" s="19"/>
      <c r="J36" s="20"/>
      <c r="K36" s="113"/>
      <c r="L36" s="111"/>
      <c r="M36" s="105"/>
      <c r="N36" s="107"/>
      <c r="O36" s="115"/>
      <c r="P36" s="113"/>
      <c r="Q36" s="111"/>
      <c r="R36" s="105"/>
      <c r="S36" s="107"/>
      <c r="T36" s="115"/>
      <c r="U36" s="113"/>
      <c r="V36" s="111"/>
      <c r="W36" s="109"/>
      <c r="X36" s="113"/>
      <c r="Y36" s="111"/>
      <c r="Z36" s="109"/>
    </row>
    <row r="37" spans="1:26" ht="14.25" customHeight="1" hidden="1" thickBot="1">
      <c r="A37" s="118"/>
      <c r="B37" s="21"/>
      <c r="C37" s="22"/>
      <c r="D37" s="23"/>
      <c r="E37" s="24"/>
      <c r="F37" s="25"/>
      <c r="G37" s="22"/>
      <c r="H37" s="23"/>
      <c r="I37" s="26"/>
      <c r="J37" s="27"/>
      <c r="K37" s="114"/>
      <c r="L37" s="112"/>
      <c r="M37" s="106"/>
      <c r="N37" s="108"/>
      <c r="O37" s="116"/>
      <c r="P37" s="114"/>
      <c r="Q37" s="112"/>
      <c r="R37" s="106"/>
      <c r="S37" s="108"/>
      <c r="T37" s="116"/>
      <c r="U37" s="114"/>
      <c r="V37" s="112"/>
      <c r="W37" s="110"/>
      <c r="X37" s="114"/>
      <c r="Y37" s="112"/>
      <c r="Z37" s="110"/>
    </row>
    <row r="38" spans="1:26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</sheetData>
  <sheetProtection selectLockedCells="1"/>
  <mergeCells count="279">
    <mergeCell ref="N34:N35"/>
    <mergeCell ref="O34:O35"/>
    <mergeCell ref="P34:P35"/>
    <mergeCell ref="N30:N31"/>
    <mergeCell ref="O30:O31"/>
    <mergeCell ref="O32:O33"/>
    <mergeCell ref="P32:P33"/>
    <mergeCell ref="N32:N33"/>
    <mergeCell ref="P30:P31"/>
    <mergeCell ref="O24:O25"/>
    <mergeCell ref="P24:P25"/>
    <mergeCell ref="O26:O27"/>
    <mergeCell ref="P26:P27"/>
    <mergeCell ref="O28:O29"/>
    <mergeCell ref="P12:P13"/>
    <mergeCell ref="N18:N19"/>
    <mergeCell ref="O18:O19"/>
    <mergeCell ref="P18:P19"/>
    <mergeCell ref="N14:N15"/>
    <mergeCell ref="O14:O15"/>
    <mergeCell ref="P14:P15"/>
    <mergeCell ref="O16:O17"/>
    <mergeCell ref="P16:P17"/>
    <mergeCell ref="N16:N17"/>
    <mergeCell ref="O20:O21"/>
    <mergeCell ref="P20:P21"/>
    <mergeCell ref="P28:P29"/>
    <mergeCell ref="N22:N23"/>
    <mergeCell ref="N20:N21"/>
    <mergeCell ref="N24:N25"/>
    <mergeCell ref="N28:N29"/>
    <mergeCell ref="N26:N27"/>
    <mergeCell ref="O22:O23"/>
    <mergeCell ref="P22:P23"/>
    <mergeCell ref="K32:K33"/>
    <mergeCell ref="L32:L33"/>
    <mergeCell ref="M32:M33"/>
    <mergeCell ref="M24:M25"/>
    <mergeCell ref="K26:K27"/>
    <mergeCell ref="L26:L27"/>
    <mergeCell ref="M26:M27"/>
    <mergeCell ref="M22:M23"/>
    <mergeCell ref="K22:K23"/>
    <mergeCell ref="K34:K35"/>
    <mergeCell ref="L34:L35"/>
    <mergeCell ref="M34:M35"/>
    <mergeCell ref="K28:K29"/>
    <mergeCell ref="L28:L29"/>
    <mergeCell ref="M28:M29"/>
    <mergeCell ref="K30:K31"/>
    <mergeCell ref="L30:L31"/>
    <mergeCell ref="M30:M31"/>
    <mergeCell ref="P4:T4"/>
    <mergeCell ref="K8:K9"/>
    <mergeCell ref="L8:L9"/>
    <mergeCell ref="M8:M9"/>
    <mergeCell ref="N6:N7"/>
    <mergeCell ref="O8:O9"/>
    <mergeCell ref="N8:N9"/>
    <mergeCell ref="T6:T7"/>
    <mergeCell ref="S8:S9"/>
    <mergeCell ref="S6:S7"/>
    <mergeCell ref="C4:F4"/>
    <mergeCell ref="A14:A15"/>
    <mergeCell ref="K4:O4"/>
    <mergeCell ref="M10:M11"/>
    <mergeCell ref="K12:K13"/>
    <mergeCell ref="L12:L13"/>
    <mergeCell ref="M12:M13"/>
    <mergeCell ref="M14:M15"/>
    <mergeCell ref="N12:N13"/>
    <mergeCell ref="O12:O13"/>
    <mergeCell ref="A22:A23"/>
    <mergeCell ref="A24:A25"/>
    <mergeCell ref="K10:K11"/>
    <mergeCell ref="L10:L11"/>
    <mergeCell ref="K14:K15"/>
    <mergeCell ref="L14:L15"/>
    <mergeCell ref="K16:K17"/>
    <mergeCell ref="L16:L17"/>
    <mergeCell ref="K24:K25"/>
    <mergeCell ref="L22:L23"/>
    <mergeCell ref="L24:L25"/>
    <mergeCell ref="S18:S19"/>
    <mergeCell ref="A34:A35"/>
    <mergeCell ref="G4:J4"/>
    <mergeCell ref="A26:A27"/>
    <mergeCell ref="A10:A11"/>
    <mergeCell ref="A12:A13"/>
    <mergeCell ref="A30:A31"/>
    <mergeCell ref="A32:A33"/>
    <mergeCell ref="A4:A5"/>
    <mergeCell ref="A28:A29"/>
    <mergeCell ref="R18:R19"/>
    <mergeCell ref="O6:O7"/>
    <mergeCell ref="P6:P7"/>
    <mergeCell ref="Q8:Q9"/>
    <mergeCell ref="R8:R9"/>
    <mergeCell ref="P8:P9"/>
    <mergeCell ref="R6:R7"/>
    <mergeCell ref="O10:O11"/>
    <mergeCell ref="P10:P11"/>
    <mergeCell ref="A20:A21"/>
    <mergeCell ref="A6:A7"/>
    <mergeCell ref="A8:A9"/>
    <mergeCell ref="N10:N11"/>
    <mergeCell ref="M18:M19"/>
    <mergeCell ref="K20:K21"/>
    <mergeCell ref="L20:L21"/>
    <mergeCell ref="M20:M21"/>
    <mergeCell ref="K18:K19"/>
    <mergeCell ref="L18:L19"/>
    <mergeCell ref="Q18:Q19"/>
    <mergeCell ref="A16:A17"/>
    <mergeCell ref="A18:A19"/>
    <mergeCell ref="K6:K7"/>
    <mergeCell ref="L6:L7"/>
    <mergeCell ref="Q10:Q11"/>
    <mergeCell ref="M16:M17"/>
    <mergeCell ref="M6:M7"/>
    <mergeCell ref="Q14:Q15"/>
    <mergeCell ref="Q16:Q17"/>
    <mergeCell ref="R14:R15"/>
    <mergeCell ref="U8:U9"/>
    <mergeCell ref="S14:S15"/>
    <mergeCell ref="T14:T15"/>
    <mergeCell ref="T8:T9"/>
    <mergeCell ref="U12:U13"/>
    <mergeCell ref="Q6:Q7"/>
    <mergeCell ref="R10:R11"/>
    <mergeCell ref="S10:S11"/>
    <mergeCell ref="V8:V9"/>
    <mergeCell ref="U10:U11"/>
    <mergeCell ref="V10:V11"/>
    <mergeCell ref="Q12:Q13"/>
    <mergeCell ref="R12:R13"/>
    <mergeCell ref="S12:S13"/>
    <mergeCell ref="T12:T13"/>
    <mergeCell ref="V12:V13"/>
    <mergeCell ref="T10:T11"/>
    <mergeCell ref="U16:U17"/>
    <mergeCell ref="V16:V17"/>
    <mergeCell ref="U14:U15"/>
    <mergeCell ref="V14:V15"/>
    <mergeCell ref="R16:R17"/>
    <mergeCell ref="S16:S17"/>
    <mergeCell ref="T16:T17"/>
    <mergeCell ref="T18:T19"/>
    <mergeCell ref="U22:U23"/>
    <mergeCell ref="V22:V23"/>
    <mergeCell ref="U18:U19"/>
    <mergeCell ref="V18:V19"/>
    <mergeCell ref="U20:U21"/>
    <mergeCell ref="V20:V21"/>
    <mergeCell ref="U24:U25"/>
    <mergeCell ref="V24:V25"/>
    <mergeCell ref="Q22:Q23"/>
    <mergeCell ref="R22:R23"/>
    <mergeCell ref="Q24:Q25"/>
    <mergeCell ref="R24:R25"/>
    <mergeCell ref="S24:S25"/>
    <mergeCell ref="T24:T25"/>
    <mergeCell ref="S22:S23"/>
    <mergeCell ref="T22:T23"/>
    <mergeCell ref="Q20:Q21"/>
    <mergeCell ref="R20:R21"/>
    <mergeCell ref="S20:S21"/>
    <mergeCell ref="T20:T21"/>
    <mergeCell ref="Q26:Q27"/>
    <mergeCell ref="R26:R27"/>
    <mergeCell ref="S26:S27"/>
    <mergeCell ref="T26:T27"/>
    <mergeCell ref="V30:V31"/>
    <mergeCell ref="Q28:Q29"/>
    <mergeCell ref="R28:R29"/>
    <mergeCell ref="S28:S29"/>
    <mergeCell ref="T28:T29"/>
    <mergeCell ref="R30:R31"/>
    <mergeCell ref="T32:T33"/>
    <mergeCell ref="S30:S31"/>
    <mergeCell ref="T30:T31"/>
    <mergeCell ref="U30:U31"/>
    <mergeCell ref="U26:U27"/>
    <mergeCell ref="V26:V27"/>
    <mergeCell ref="U28:U29"/>
    <mergeCell ref="V28:V29"/>
    <mergeCell ref="Q32:Q33"/>
    <mergeCell ref="R32:R33"/>
    <mergeCell ref="S32:S33"/>
    <mergeCell ref="W8:W9"/>
    <mergeCell ref="U32:U33"/>
    <mergeCell ref="V32:V33"/>
    <mergeCell ref="Q30:Q31"/>
    <mergeCell ref="W10:W11"/>
    <mergeCell ref="W12:W13"/>
    <mergeCell ref="W14:W15"/>
    <mergeCell ref="Q34:Q35"/>
    <mergeCell ref="R34:R35"/>
    <mergeCell ref="S34:S35"/>
    <mergeCell ref="V34:V35"/>
    <mergeCell ref="T34:T35"/>
    <mergeCell ref="U34:U35"/>
    <mergeCell ref="W24:W25"/>
    <mergeCell ref="W34:W35"/>
    <mergeCell ref="W26:W27"/>
    <mergeCell ref="W28:W29"/>
    <mergeCell ref="W30:W31"/>
    <mergeCell ref="W32:W33"/>
    <mergeCell ref="W16:W17"/>
    <mergeCell ref="W18:W19"/>
    <mergeCell ref="W20:W21"/>
    <mergeCell ref="W22:W23"/>
    <mergeCell ref="U4:W4"/>
    <mergeCell ref="X4:Z4"/>
    <mergeCell ref="X6:X7"/>
    <mergeCell ref="Y6:Y7"/>
    <mergeCell ref="Z6:Z7"/>
    <mergeCell ref="W6:W7"/>
    <mergeCell ref="U6:U7"/>
    <mergeCell ref="V6:V7"/>
    <mergeCell ref="X8:X9"/>
    <mergeCell ref="Y8:Y9"/>
    <mergeCell ref="Z8:Z9"/>
    <mergeCell ref="X10:X11"/>
    <mergeCell ref="Y10:Y11"/>
    <mergeCell ref="Z10:Z11"/>
    <mergeCell ref="X12:X13"/>
    <mergeCell ref="Y12:Y13"/>
    <mergeCell ref="Z12:Z13"/>
    <mergeCell ref="X14:X15"/>
    <mergeCell ref="Y14:Y15"/>
    <mergeCell ref="Z14:Z15"/>
    <mergeCell ref="X16:X17"/>
    <mergeCell ref="Y16:Y17"/>
    <mergeCell ref="Z16:Z17"/>
    <mergeCell ref="X18:X19"/>
    <mergeCell ref="Y18:Y19"/>
    <mergeCell ref="Z18:Z19"/>
    <mergeCell ref="X20:X21"/>
    <mergeCell ref="Y20:Y21"/>
    <mergeCell ref="Z20:Z21"/>
    <mergeCell ref="X22:X23"/>
    <mergeCell ref="Y22:Y23"/>
    <mergeCell ref="Z22:Z23"/>
    <mergeCell ref="X24:X25"/>
    <mergeCell ref="Y24:Y25"/>
    <mergeCell ref="Z24:Z25"/>
    <mergeCell ref="X26:X27"/>
    <mergeCell ref="Y26:Y27"/>
    <mergeCell ref="Z26:Z27"/>
    <mergeCell ref="X28:X29"/>
    <mergeCell ref="Y28:Y29"/>
    <mergeCell ref="Z28:Z29"/>
    <mergeCell ref="X30:X31"/>
    <mergeCell ref="Y30:Y31"/>
    <mergeCell ref="Z30:Z31"/>
    <mergeCell ref="X32:X33"/>
    <mergeCell ref="Y32:Y33"/>
    <mergeCell ref="Z32:Z33"/>
    <mergeCell ref="X34:X35"/>
    <mergeCell ref="Y34:Y35"/>
    <mergeCell ref="Z34:Z35"/>
    <mergeCell ref="N36:N37"/>
    <mergeCell ref="O36:O37"/>
    <mergeCell ref="P36:P37"/>
    <mergeCell ref="Q36:Q37"/>
    <mergeCell ref="A36:A37"/>
    <mergeCell ref="K36:K37"/>
    <mergeCell ref="L36:L37"/>
    <mergeCell ref="M36:M37"/>
    <mergeCell ref="R36:R37"/>
    <mergeCell ref="S36:S37"/>
    <mergeCell ref="Z36:Z37"/>
    <mergeCell ref="V36:V37"/>
    <mergeCell ref="W36:W37"/>
    <mergeCell ref="X36:X37"/>
    <mergeCell ref="Y36:Y37"/>
    <mergeCell ref="T36:T37"/>
    <mergeCell ref="U36:U37"/>
  </mergeCells>
  <printOptions horizontalCentered="1" verticalCentered="1"/>
  <pageMargins left="0" right="0" top="0" bottom="0" header="0.5" footer="0.5"/>
  <pageSetup fitToHeight="1" fitToWidth="1" horizontalDpi="600" verticalDpi="600" orientation="landscape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showZeros="0" zoomScale="75" zoomScaleNormal="75" zoomScalePageLayoutView="0" workbookViewId="0" topLeftCell="A22">
      <selection activeCell="A25" sqref="A25"/>
    </sheetView>
  </sheetViews>
  <sheetFormatPr defaultColWidth="9.140625" defaultRowHeight="12.75"/>
  <cols>
    <col min="1" max="1" width="20.7109375" style="1" customWidth="1"/>
    <col min="2" max="2" width="12.8515625" style="1" customWidth="1"/>
    <col min="3" max="3" width="5.7109375" style="1" customWidth="1"/>
    <col min="4" max="4" width="12.7109375" style="1" customWidth="1"/>
    <col min="5" max="5" width="5.7109375" style="1" customWidth="1"/>
    <col min="6" max="6" width="12.7109375" style="1" customWidth="1"/>
    <col min="7" max="7" width="5.7109375" style="1" customWidth="1"/>
    <col min="8" max="10" width="17.7109375" style="1" customWidth="1"/>
    <col min="11" max="19" width="12.7109375" style="1" customWidth="1"/>
    <col min="20" max="20" width="9.7109375" style="1" customWidth="1"/>
    <col min="21" max="16384" width="9.140625" style="1" customWidth="1"/>
  </cols>
  <sheetData>
    <row r="1" spans="1:20" ht="24.75">
      <c r="A1" s="132" t="str">
        <f>Scores!A1</f>
        <v>2009 MHSAA-MBA STATE MARCHING BAND CHAMPIONSHIP - PRELIMINARY ROUND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50"/>
      <c r="Q1" s="4"/>
      <c r="R1" s="4"/>
      <c r="S1" s="4"/>
      <c r="T1" s="4"/>
    </row>
    <row r="2" spans="1:20" ht="22.5">
      <c r="A2" s="133" t="str">
        <f>Scores!A2</f>
        <v>October 24, 2009 - Copiah Lincoln Community College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51"/>
      <c r="Q2" s="5"/>
      <c r="R2" s="5"/>
      <c r="S2" s="5"/>
      <c r="T2" s="5"/>
    </row>
    <row r="3" spans="1:20" s="2" customFormat="1" ht="24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52"/>
      <c r="L3" s="52"/>
      <c r="M3" s="52"/>
      <c r="N3" s="53"/>
      <c r="O3" s="53"/>
      <c r="P3" s="53"/>
      <c r="Q3" s="6"/>
      <c r="R3" s="6"/>
      <c r="S3" s="6"/>
      <c r="T3" s="6"/>
    </row>
    <row r="4" spans="1:16" ht="18" customHeight="1">
      <c r="A4" s="130" t="s">
        <v>1</v>
      </c>
      <c r="B4" s="130" t="s">
        <v>2</v>
      </c>
      <c r="C4" s="130"/>
      <c r="D4" s="130"/>
      <c r="E4" s="130"/>
      <c r="F4" s="130" t="s">
        <v>16</v>
      </c>
      <c r="G4" s="130"/>
      <c r="H4" s="130"/>
      <c r="I4" s="130" t="s">
        <v>3</v>
      </c>
      <c r="J4" s="130"/>
      <c r="K4" s="47"/>
      <c r="L4" s="135" t="str">
        <f>Scores!A3</f>
        <v>CLASS 2A</v>
      </c>
      <c r="M4" s="135"/>
      <c r="N4" s="135"/>
      <c r="O4" s="135"/>
      <c r="P4" s="54"/>
    </row>
    <row r="5" spans="1:16" ht="18" customHeight="1">
      <c r="A5" s="130"/>
      <c r="B5" s="130" t="s">
        <v>5</v>
      </c>
      <c r="C5" s="130"/>
      <c r="D5" s="130" t="s">
        <v>6</v>
      </c>
      <c r="E5" s="130"/>
      <c r="F5" s="130" t="s">
        <v>5</v>
      </c>
      <c r="G5" s="130"/>
      <c r="H5" s="59" t="s">
        <v>11</v>
      </c>
      <c r="I5" s="59" t="s">
        <v>2</v>
      </c>
      <c r="J5" s="59" t="s">
        <v>16</v>
      </c>
      <c r="K5" s="47"/>
      <c r="L5" s="135"/>
      <c r="M5" s="135"/>
      <c r="N5" s="135"/>
      <c r="O5" s="135"/>
      <c r="P5" s="54"/>
    </row>
    <row r="6" spans="1:16" ht="24.75" customHeight="1">
      <c r="A6" s="60" t="str">
        <f>IF(Scores!A6="",0,Scores!A6)</f>
        <v>Richton</v>
      </c>
      <c r="B6" s="128">
        <f>Scores!F6</f>
        <v>27</v>
      </c>
      <c r="C6" s="128"/>
      <c r="D6" s="128">
        <f>Scores!F7</f>
        <v>26</v>
      </c>
      <c r="E6" s="128"/>
      <c r="F6" s="128">
        <f>Scores!J6</f>
        <v>21.45</v>
      </c>
      <c r="G6" s="128"/>
      <c r="H6" s="61">
        <f>Scores!J7</f>
        <v>22.5</v>
      </c>
      <c r="I6" s="61">
        <f>Scores!O6</f>
        <v>11.25</v>
      </c>
      <c r="J6" s="61">
        <f>Scores!T6</f>
        <v>10.875</v>
      </c>
      <c r="K6" s="55"/>
      <c r="L6" s="135"/>
      <c r="M6" s="135"/>
      <c r="N6" s="135"/>
      <c r="O6" s="135"/>
      <c r="P6" s="54"/>
    </row>
    <row r="7" spans="1:16" ht="24.75" customHeight="1">
      <c r="A7" s="60" t="str">
        <f>IF(Scores!A8="",0,Scores!A8)</f>
        <v>Union</v>
      </c>
      <c r="B7" s="128">
        <f>Scores!F8</f>
        <v>31</v>
      </c>
      <c r="C7" s="128"/>
      <c r="D7" s="128">
        <f>Scores!F9</f>
        <v>31.5</v>
      </c>
      <c r="E7" s="128"/>
      <c r="F7" s="128">
        <f>Scores!J8</f>
        <v>24</v>
      </c>
      <c r="G7" s="128"/>
      <c r="H7" s="61">
        <f>Scores!J9</f>
        <v>26.55</v>
      </c>
      <c r="I7" s="61">
        <f>Scores!O8</f>
        <v>12.525</v>
      </c>
      <c r="J7" s="61">
        <f>Scores!T8</f>
        <v>12.6</v>
      </c>
      <c r="K7" s="55"/>
      <c r="L7" s="135"/>
      <c r="M7" s="135"/>
      <c r="N7" s="135"/>
      <c r="O7" s="135"/>
      <c r="P7" s="54"/>
    </row>
    <row r="8" spans="1:16" ht="24.75" customHeight="1">
      <c r="A8" s="60" t="str">
        <f>IF(Scores!A10="",0,Scores!A10)</f>
        <v>Wesson</v>
      </c>
      <c r="B8" s="128">
        <f>Scores!F10</f>
        <v>29.200000000000003</v>
      </c>
      <c r="C8" s="128"/>
      <c r="D8" s="128">
        <f>Scores!F11</f>
        <v>26.3</v>
      </c>
      <c r="E8" s="128"/>
      <c r="F8" s="128">
        <f>Scores!J10</f>
        <v>22.95</v>
      </c>
      <c r="G8" s="128"/>
      <c r="H8" s="61">
        <f>Scores!J11</f>
        <v>24.45</v>
      </c>
      <c r="I8" s="61">
        <f>Scores!O10</f>
        <v>12.15</v>
      </c>
      <c r="J8" s="61">
        <f>Scores!T10</f>
        <v>12.825</v>
      </c>
      <c r="K8" s="55"/>
      <c r="L8" s="135"/>
      <c r="M8" s="135"/>
      <c r="N8" s="135"/>
      <c r="O8" s="135"/>
      <c r="P8" s="54"/>
    </row>
    <row r="9" spans="1:16" ht="24.75" customHeight="1">
      <c r="A9" s="60" t="str">
        <f>IF(Scores!A12="",0,Scores!A12)</f>
        <v>Scott Central</v>
      </c>
      <c r="B9" s="128">
        <f>Scores!F12</f>
        <v>33.300000000000004</v>
      </c>
      <c r="C9" s="128"/>
      <c r="D9" s="128">
        <f>Scores!F13</f>
        <v>27.5</v>
      </c>
      <c r="E9" s="128"/>
      <c r="F9" s="128">
        <f>Scores!J12</f>
        <v>22.8</v>
      </c>
      <c r="G9" s="128"/>
      <c r="H9" s="61">
        <f>Scores!J13</f>
        <v>25.65</v>
      </c>
      <c r="I9" s="61">
        <f>Scores!O12</f>
        <v>11.625</v>
      </c>
      <c r="J9" s="61">
        <f>Scores!T12</f>
        <v>12.45</v>
      </c>
      <c r="K9" s="55"/>
      <c r="L9" s="135"/>
      <c r="M9" s="135"/>
      <c r="N9" s="135"/>
      <c r="O9" s="135"/>
      <c r="P9" s="54"/>
    </row>
    <row r="10" spans="1:16" ht="24.75" customHeight="1">
      <c r="A10" s="60" t="str">
        <f>IF(Scores!A14="",0,Scores!A14)</f>
        <v>Stringer</v>
      </c>
      <c r="B10" s="128">
        <f>Scores!F14</f>
        <v>29.900000000000002</v>
      </c>
      <c r="C10" s="128"/>
      <c r="D10" s="128">
        <f>Scores!F15</f>
        <v>25.8</v>
      </c>
      <c r="E10" s="128"/>
      <c r="F10" s="128">
        <f>Scores!J14</f>
        <v>21.9</v>
      </c>
      <c r="G10" s="128"/>
      <c r="H10" s="61">
        <f>Scores!J15</f>
        <v>23.099999999999998</v>
      </c>
      <c r="I10" s="61">
        <f>Scores!O14</f>
        <v>11.7</v>
      </c>
      <c r="J10" s="61">
        <f>Scores!T14</f>
        <v>11.549999999999999</v>
      </c>
      <c r="K10" s="55"/>
      <c r="L10" s="135"/>
      <c r="M10" s="135"/>
      <c r="N10" s="135"/>
      <c r="O10" s="135"/>
      <c r="P10" s="54"/>
    </row>
    <row r="11" spans="1:16" ht="24.75" customHeight="1">
      <c r="A11" s="60" t="str">
        <f>IF(Scores!A16="",0,Scores!A16)</f>
        <v>Enterprise</v>
      </c>
      <c r="B11" s="128">
        <f>Scores!F16</f>
        <v>28.8</v>
      </c>
      <c r="C11" s="128"/>
      <c r="D11" s="128">
        <f>Scores!F17</f>
        <v>25.5</v>
      </c>
      <c r="E11" s="128"/>
      <c r="F11" s="128">
        <f>Scores!J16</f>
        <v>22.2</v>
      </c>
      <c r="G11" s="128"/>
      <c r="H11" s="61">
        <f>Scores!J17</f>
        <v>23.55</v>
      </c>
      <c r="I11" s="61">
        <f>Scores!O16</f>
        <v>11.549999999999999</v>
      </c>
      <c r="J11" s="61">
        <f>Scores!T16</f>
        <v>11.85</v>
      </c>
      <c r="K11" s="55"/>
      <c r="L11" s="135"/>
      <c r="M11" s="135"/>
      <c r="N11" s="135"/>
      <c r="O11" s="135"/>
      <c r="P11" s="54"/>
    </row>
    <row r="12" spans="1:16" ht="24.75" customHeight="1">
      <c r="A12" s="60" t="str">
        <f>IF(Scores!A18="",0,Scores!A18)</f>
        <v>Taylorsville</v>
      </c>
      <c r="B12" s="128">
        <f>Scores!F18</f>
        <v>28.200000000000003</v>
      </c>
      <c r="C12" s="128"/>
      <c r="D12" s="128">
        <f>Scores!F19</f>
        <v>24.900000000000002</v>
      </c>
      <c r="E12" s="128"/>
      <c r="F12" s="128">
        <f>Scores!J18</f>
        <v>21</v>
      </c>
      <c r="G12" s="128"/>
      <c r="H12" s="61">
        <f>Scores!J19</f>
        <v>22.05</v>
      </c>
      <c r="I12" s="61">
        <f>Scores!O18</f>
        <v>11.4</v>
      </c>
      <c r="J12" s="61">
        <f>Scores!T18</f>
        <v>11.4</v>
      </c>
      <c r="K12" s="55"/>
      <c r="L12" s="135"/>
      <c r="M12" s="135"/>
      <c r="N12" s="135"/>
      <c r="O12" s="135"/>
      <c r="P12" s="54"/>
    </row>
    <row r="13" spans="1:16" ht="24.75" customHeight="1">
      <c r="A13" s="60" t="str">
        <f>IF(Scores!A20="",0,Scores!A20)</f>
        <v>Bruce</v>
      </c>
      <c r="B13" s="128">
        <f>Scores!F20</f>
        <v>26.200000000000003</v>
      </c>
      <c r="C13" s="128"/>
      <c r="D13" s="128">
        <f>Scores!F21</f>
        <v>25.6</v>
      </c>
      <c r="E13" s="128"/>
      <c r="F13" s="128">
        <f>Scores!J20</f>
        <v>20.55</v>
      </c>
      <c r="G13" s="128"/>
      <c r="H13" s="61">
        <f>Scores!J21</f>
        <v>22.95</v>
      </c>
      <c r="I13" s="61">
        <f>Scores!O20</f>
        <v>11.325</v>
      </c>
      <c r="J13" s="61">
        <f>Scores!T20</f>
        <v>11.7</v>
      </c>
      <c r="K13" s="55"/>
      <c r="L13" s="135"/>
      <c r="M13" s="135"/>
      <c r="N13" s="135"/>
      <c r="O13" s="135"/>
      <c r="P13" s="54"/>
    </row>
    <row r="14" spans="1:16" ht="24.75" customHeight="1">
      <c r="A14" s="60" t="str">
        <f>IF(Scores!A22="",0,Scores!A22)</f>
        <v>Ackerman</v>
      </c>
      <c r="B14" s="128">
        <f>Scores!F22</f>
        <v>28.900000000000002</v>
      </c>
      <c r="C14" s="128"/>
      <c r="D14" s="128">
        <f>Scores!F23</f>
        <v>27.3</v>
      </c>
      <c r="E14" s="128"/>
      <c r="F14" s="128">
        <f>Scores!J22</f>
        <v>21.75</v>
      </c>
      <c r="G14" s="128"/>
      <c r="H14" s="61">
        <f>Scores!J23</f>
        <v>22.349999999999998</v>
      </c>
      <c r="I14" s="61">
        <f>Scores!O22</f>
        <v>11.475</v>
      </c>
      <c r="J14" s="61">
        <f>Scores!T22</f>
        <v>12.15</v>
      </c>
      <c r="K14" s="55"/>
      <c r="L14" s="135"/>
      <c r="M14" s="135"/>
      <c r="N14" s="135"/>
      <c r="O14" s="135"/>
      <c r="P14" s="54"/>
    </row>
    <row r="15" spans="1:16" ht="24.75" customHeight="1">
      <c r="A15" s="60" t="str">
        <f>IF(Scores!A24="",0,Scores!A24)</f>
        <v>Baldwyn</v>
      </c>
      <c r="B15" s="128">
        <f>Scores!F24</f>
        <v>30.5</v>
      </c>
      <c r="C15" s="128"/>
      <c r="D15" s="128">
        <f>Scores!F25</f>
        <v>26.200000000000003</v>
      </c>
      <c r="E15" s="128"/>
      <c r="F15" s="128">
        <f>Scores!J24</f>
        <v>23.099999999999998</v>
      </c>
      <c r="G15" s="128"/>
      <c r="H15" s="61">
        <f>Scores!J25</f>
        <v>23.25</v>
      </c>
      <c r="I15" s="61">
        <f>Scores!O24</f>
        <v>12.225</v>
      </c>
      <c r="J15" s="61">
        <f>Scores!T24</f>
        <v>12</v>
      </c>
      <c r="K15" s="55"/>
      <c r="L15" s="135"/>
      <c r="M15" s="135"/>
      <c r="N15" s="135"/>
      <c r="O15" s="135"/>
      <c r="P15" s="54"/>
    </row>
    <row r="16" spans="1:16" ht="24.75" customHeight="1">
      <c r="A16" s="60" t="str">
        <f>IF(Scores!A26="",0,Scores!A26)</f>
        <v>Eupora</v>
      </c>
      <c r="B16" s="128">
        <f>Scores!F26</f>
        <v>31.6</v>
      </c>
      <c r="C16" s="128"/>
      <c r="D16" s="128">
        <f>Scores!F27</f>
        <v>30.3</v>
      </c>
      <c r="E16" s="128"/>
      <c r="F16" s="128">
        <f>Scores!J26</f>
        <v>22.5</v>
      </c>
      <c r="G16" s="128"/>
      <c r="H16" s="61">
        <f>Scores!J27</f>
        <v>24.9</v>
      </c>
      <c r="I16" s="61">
        <f>Scores!O26</f>
        <v>12.75</v>
      </c>
      <c r="J16" s="61">
        <f>Scores!T26</f>
        <v>12.9</v>
      </c>
      <c r="K16" s="55"/>
      <c r="L16" s="135"/>
      <c r="M16" s="135"/>
      <c r="N16" s="135"/>
      <c r="O16" s="135"/>
      <c r="P16" s="54"/>
    </row>
    <row r="17" spans="1:16" ht="24.75" customHeight="1">
      <c r="A17" s="60">
        <f>IF(Scores!A28="",0,Scores!A28)</f>
        <v>0</v>
      </c>
      <c r="B17" s="128">
        <f>Scores!F28</f>
        <v>0</v>
      </c>
      <c r="C17" s="128"/>
      <c r="D17" s="128">
        <f>Scores!F29</f>
        <v>0</v>
      </c>
      <c r="E17" s="128"/>
      <c r="F17" s="128">
        <f>Scores!J28</f>
        <v>0</v>
      </c>
      <c r="G17" s="128"/>
      <c r="H17" s="61">
        <f>Scores!J29</f>
        <v>0</v>
      </c>
      <c r="I17" s="61">
        <f>Scores!O28</f>
        <v>0</v>
      </c>
      <c r="J17" s="61">
        <f>Scores!T28</f>
        <v>0</v>
      </c>
      <c r="K17" s="55"/>
      <c r="L17" s="135"/>
      <c r="M17" s="135"/>
      <c r="N17" s="135"/>
      <c r="O17" s="135"/>
      <c r="P17" s="54"/>
    </row>
    <row r="18" spans="1:16" ht="24.75" customHeight="1">
      <c r="A18" s="60">
        <f>IF(Scores!A30="",0,Scores!A30)</f>
        <v>0</v>
      </c>
      <c r="B18" s="128">
        <f>Scores!F30</f>
        <v>0</v>
      </c>
      <c r="C18" s="128"/>
      <c r="D18" s="128">
        <f>Scores!F31</f>
        <v>0</v>
      </c>
      <c r="E18" s="128"/>
      <c r="F18" s="128">
        <f>Scores!J30</f>
        <v>0</v>
      </c>
      <c r="G18" s="128"/>
      <c r="H18" s="61">
        <f>Scores!J31</f>
        <v>0</v>
      </c>
      <c r="I18" s="61">
        <f>Scores!O30</f>
        <v>0</v>
      </c>
      <c r="J18" s="61">
        <f>Scores!T30</f>
        <v>0</v>
      </c>
      <c r="K18" s="55"/>
      <c r="L18" s="135"/>
      <c r="M18" s="135"/>
      <c r="N18" s="135"/>
      <c r="O18" s="135"/>
      <c r="P18" s="54"/>
    </row>
    <row r="19" spans="1:16" ht="24.75" customHeight="1">
      <c r="A19" s="60">
        <f>IF(Scores!A32="",0,Scores!A32)</f>
        <v>0</v>
      </c>
      <c r="B19" s="128">
        <f>Scores!F32</f>
        <v>0</v>
      </c>
      <c r="C19" s="128"/>
      <c r="D19" s="128">
        <f>Scores!F33</f>
        <v>0</v>
      </c>
      <c r="E19" s="128"/>
      <c r="F19" s="128">
        <f>Scores!J32</f>
        <v>0</v>
      </c>
      <c r="G19" s="128"/>
      <c r="H19" s="61">
        <f>Scores!J33</f>
        <v>0</v>
      </c>
      <c r="I19" s="61">
        <f>Scores!O32</f>
        <v>0</v>
      </c>
      <c r="J19" s="61">
        <f>Scores!T32</f>
        <v>0</v>
      </c>
      <c r="K19" s="55"/>
      <c r="L19" s="135"/>
      <c r="M19" s="135"/>
      <c r="N19" s="135"/>
      <c r="O19" s="135"/>
      <c r="P19" s="54"/>
    </row>
    <row r="20" spans="1:16" ht="24.75" customHeight="1">
      <c r="A20" s="60">
        <f>IF(Scores!A34="",0,Scores!A34)</f>
        <v>0</v>
      </c>
      <c r="B20" s="128">
        <f>Scores!F34</f>
        <v>0</v>
      </c>
      <c r="C20" s="128"/>
      <c r="D20" s="128">
        <f>Scores!F35</f>
        <v>0</v>
      </c>
      <c r="E20" s="128"/>
      <c r="F20" s="128">
        <f>Scores!J34</f>
        <v>0</v>
      </c>
      <c r="G20" s="128"/>
      <c r="H20" s="61">
        <f>Scores!J35</f>
        <v>0</v>
      </c>
      <c r="I20" s="61">
        <f>Scores!O34</f>
        <v>0</v>
      </c>
      <c r="J20" s="61">
        <f>Scores!T34</f>
        <v>0</v>
      </c>
      <c r="K20" s="55"/>
      <c r="L20" s="135"/>
      <c r="M20" s="135"/>
      <c r="N20" s="135"/>
      <c r="O20" s="135"/>
      <c r="P20" s="54"/>
    </row>
    <row r="21" spans="1:16" ht="24.75" customHeight="1">
      <c r="A21" s="60">
        <f>IF(Scores!A36="",0,Scores!A36)</f>
        <v>0</v>
      </c>
      <c r="B21" s="128">
        <f>Scores!F36</f>
        <v>0</v>
      </c>
      <c r="C21" s="128"/>
      <c r="D21" s="128">
        <f>Scores!F37</f>
        <v>0</v>
      </c>
      <c r="E21" s="128"/>
      <c r="F21" s="128">
        <f>Scores!J36</f>
        <v>0</v>
      </c>
      <c r="G21" s="128"/>
      <c r="H21" s="61">
        <f>Scores!J37</f>
        <v>0</v>
      </c>
      <c r="I21" s="61">
        <f>Scores!O36</f>
        <v>0</v>
      </c>
      <c r="J21" s="61">
        <f>Scores!T36</f>
        <v>0</v>
      </c>
      <c r="K21" s="55"/>
      <c r="L21" s="56"/>
      <c r="M21" s="56"/>
      <c r="N21" s="56"/>
      <c r="O21" s="56"/>
      <c r="P21" s="54"/>
    </row>
    <row r="22" spans="1:20" ht="30" customHeight="1">
      <c r="A22" s="129" t="s">
        <v>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57"/>
      <c r="O22" s="57"/>
      <c r="P22" s="57"/>
      <c r="Q22" s="7"/>
      <c r="R22" s="7"/>
      <c r="S22" s="7"/>
      <c r="T22" s="7"/>
    </row>
    <row r="23" spans="1:17" ht="17.25" customHeight="1">
      <c r="A23" s="130" t="s">
        <v>1</v>
      </c>
      <c r="B23" s="131" t="s">
        <v>2</v>
      </c>
      <c r="C23" s="131"/>
      <c r="D23" s="131" t="s">
        <v>16</v>
      </c>
      <c r="E23" s="131"/>
      <c r="F23" s="131" t="s">
        <v>19</v>
      </c>
      <c r="G23" s="134"/>
      <c r="H23" s="131" t="s">
        <v>17</v>
      </c>
      <c r="I23" s="131"/>
      <c r="J23" s="131"/>
      <c r="K23" s="131"/>
      <c r="L23" s="136" t="s">
        <v>4</v>
      </c>
      <c r="M23" s="136"/>
      <c r="N23" s="137" t="s">
        <v>12</v>
      </c>
      <c r="O23" s="137"/>
      <c r="P23" s="48"/>
      <c r="Q23" s="8"/>
    </row>
    <row r="24" spans="1:16" ht="17.25" customHeight="1">
      <c r="A24" s="130"/>
      <c r="B24" s="59" t="s">
        <v>9</v>
      </c>
      <c r="C24" s="59" t="s">
        <v>15</v>
      </c>
      <c r="D24" s="59" t="s">
        <v>9</v>
      </c>
      <c r="E24" s="59" t="s">
        <v>15</v>
      </c>
      <c r="F24" s="59" t="s">
        <v>18</v>
      </c>
      <c r="G24" s="59" t="s">
        <v>15</v>
      </c>
      <c r="H24" s="62" t="s">
        <v>18</v>
      </c>
      <c r="I24" s="62" t="s">
        <v>20</v>
      </c>
      <c r="J24" s="62" t="s">
        <v>21</v>
      </c>
      <c r="K24" s="62" t="s">
        <v>8</v>
      </c>
      <c r="L24" s="62" t="s">
        <v>14</v>
      </c>
      <c r="M24" s="62" t="s">
        <v>8</v>
      </c>
      <c r="N24" s="63" t="s">
        <v>14</v>
      </c>
      <c r="O24" s="63" t="s">
        <v>8</v>
      </c>
      <c r="P24" s="49"/>
    </row>
    <row r="25" spans="1:16" ht="24.75" customHeight="1">
      <c r="A25" s="60" t="str">
        <f aca="true" t="shared" si="0" ref="A25:A40">A6</f>
        <v>Richton</v>
      </c>
      <c r="B25" s="64">
        <f aca="true" t="shared" si="1" ref="B25:B40">(B6+D6)/2</f>
        <v>26.5</v>
      </c>
      <c r="C25" s="65">
        <f>IF(B25=0,"",RANK(B25,$B$25:$B$40,0))</f>
        <v>10</v>
      </c>
      <c r="D25" s="64">
        <f aca="true" t="shared" si="2" ref="D25:D40">(F6+H6)/2</f>
        <v>21.975</v>
      </c>
      <c r="E25" s="65">
        <f>IF(D25=0,"",RANK(D25,$D$25:$D$40,0))</f>
        <v>9</v>
      </c>
      <c r="F25" s="64">
        <f>(I6+J6)</f>
        <v>22.125</v>
      </c>
      <c r="G25" s="65">
        <f>IF(F25=0,"",RANK(F25,$F$25:$F$40,0))</f>
        <v>11</v>
      </c>
      <c r="H25" s="66">
        <f>B25+D25+F25</f>
        <v>70.6</v>
      </c>
      <c r="I25" s="67"/>
      <c r="J25" s="68">
        <f>H25-I25</f>
        <v>70.6</v>
      </c>
      <c r="K25" s="65">
        <f>IF(J25=0,"",RANK(J25,$J$25:$J$40,0))</f>
        <v>11</v>
      </c>
      <c r="L25" s="61">
        <f>Scores!W6</f>
        <v>74.5</v>
      </c>
      <c r="M25" s="65">
        <f>IF(L25=0,"",RANK(L25,$L$25:$L$40,0))</f>
        <v>10</v>
      </c>
      <c r="N25" s="61">
        <f>Scores!Z6</f>
        <v>73</v>
      </c>
      <c r="O25" s="65">
        <f>IF(N25=0,"",RANK(N25,$N$25:$N$40,0))</f>
        <v>10</v>
      </c>
      <c r="P25" s="58"/>
    </row>
    <row r="26" spans="1:16" ht="24.75" customHeight="1">
      <c r="A26" s="60" t="str">
        <f t="shared" si="0"/>
        <v>Union</v>
      </c>
      <c r="B26" s="64">
        <f t="shared" si="1"/>
        <v>31.25</v>
      </c>
      <c r="C26" s="65">
        <f aca="true" t="shared" si="3" ref="C26:C40">IF(B26=0,"",RANK(B26,$B$25:$B$40,0))</f>
        <v>1</v>
      </c>
      <c r="D26" s="64">
        <f t="shared" si="2"/>
        <v>25.275</v>
      </c>
      <c r="E26" s="65">
        <f aca="true" t="shared" si="4" ref="E26:E40">IF(D26=0,"",RANK(D26,$D$25:$D$40,0))</f>
        <v>1</v>
      </c>
      <c r="F26" s="64">
        <f aca="true" t="shared" si="5" ref="F26:F40">(I7+J7)</f>
        <v>25.125</v>
      </c>
      <c r="G26" s="65">
        <f aca="true" t="shared" si="6" ref="G26:G40">IF(F26=0,"",RANK(F26,$F$25:$F$40,0))</f>
        <v>2</v>
      </c>
      <c r="H26" s="66">
        <f aca="true" t="shared" si="7" ref="H26:H40">B26+D26+F26</f>
        <v>81.65</v>
      </c>
      <c r="I26" s="67"/>
      <c r="J26" s="68">
        <f aca="true" t="shared" si="8" ref="J26:J40">H26-I26</f>
        <v>81.65</v>
      </c>
      <c r="K26" s="65">
        <f aca="true" t="shared" si="9" ref="K26:K40">IF(J26=0,"",RANK(J26,$J$25:$J$40,0))</f>
        <v>1</v>
      </c>
      <c r="L26" s="61">
        <f>Scores!W8</f>
        <v>81</v>
      </c>
      <c r="M26" s="65">
        <f aca="true" t="shared" si="10" ref="M26:M40">IF(L26=0,"",RANK(L26,$L$25:$L$40,0))</f>
        <v>4</v>
      </c>
      <c r="N26" s="61">
        <f>Scores!Z8</f>
        <v>78</v>
      </c>
      <c r="O26" s="65">
        <f aca="true" t="shared" si="11" ref="O26:O40">IF(N26=0,"",RANK(N26,$N$25:$N$40,0))</f>
        <v>4</v>
      </c>
      <c r="P26" s="58"/>
    </row>
    <row r="27" spans="1:16" ht="24.75" customHeight="1">
      <c r="A27" s="60" t="str">
        <f t="shared" si="0"/>
        <v>Wesson</v>
      </c>
      <c r="B27" s="64">
        <f t="shared" si="1"/>
        <v>27.75</v>
      </c>
      <c r="C27" s="65">
        <f t="shared" si="3"/>
        <v>7</v>
      </c>
      <c r="D27" s="64">
        <f t="shared" si="2"/>
        <v>23.7</v>
      </c>
      <c r="E27" s="65">
        <f t="shared" si="4"/>
        <v>3</v>
      </c>
      <c r="F27" s="64">
        <f t="shared" si="5"/>
        <v>24.975</v>
      </c>
      <c r="G27" s="65">
        <f t="shared" si="6"/>
        <v>3</v>
      </c>
      <c r="H27" s="66">
        <f t="shared" si="7"/>
        <v>76.42500000000001</v>
      </c>
      <c r="I27" s="67"/>
      <c r="J27" s="68">
        <f t="shared" si="8"/>
        <v>76.42500000000001</v>
      </c>
      <c r="K27" s="65">
        <f t="shared" si="9"/>
        <v>4</v>
      </c>
      <c r="L27" s="61">
        <f>Scores!W10</f>
        <v>84.5</v>
      </c>
      <c r="M27" s="65">
        <f t="shared" si="10"/>
        <v>1</v>
      </c>
      <c r="N27" s="61">
        <f>Scores!Z10</f>
        <v>80</v>
      </c>
      <c r="O27" s="65">
        <f t="shared" si="11"/>
        <v>3</v>
      </c>
      <c r="P27" s="58"/>
    </row>
    <row r="28" spans="1:16" ht="24.75" customHeight="1">
      <c r="A28" s="60" t="str">
        <f t="shared" si="0"/>
        <v>Scott Central</v>
      </c>
      <c r="B28" s="64">
        <f t="shared" si="1"/>
        <v>30.400000000000002</v>
      </c>
      <c r="C28" s="65">
        <f t="shared" si="3"/>
        <v>3</v>
      </c>
      <c r="D28" s="64">
        <f t="shared" si="2"/>
        <v>24.225</v>
      </c>
      <c r="E28" s="65">
        <f t="shared" si="4"/>
        <v>2</v>
      </c>
      <c r="F28" s="64">
        <f t="shared" si="5"/>
        <v>24.075</v>
      </c>
      <c r="G28" s="65">
        <f t="shared" si="6"/>
        <v>5</v>
      </c>
      <c r="H28" s="66">
        <f t="shared" si="7"/>
        <v>78.7</v>
      </c>
      <c r="I28" s="67"/>
      <c r="J28" s="68">
        <f t="shared" si="8"/>
        <v>78.7</v>
      </c>
      <c r="K28" s="65">
        <f t="shared" si="9"/>
        <v>3</v>
      </c>
      <c r="L28" s="61">
        <f>Scores!W12</f>
        <v>78.5</v>
      </c>
      <c r="M28" s="65">
        <f t="shared" si="10"/>
        <v>7</v>
      </c>
      <c r="N28" s="61">
        <f>Scores!Z12</f>
        <v>77</v>
      </c>
      <c r="O28" s="65">
        <f t="shared" si="11"/>
        <v>5</v>
      </c>
      <c r="P28" s="58"/>
    </row>
    <row r="29" spans="1:16" ht="24.75" customHeight="1">
      <c r="A29" s="60" t="str">
        <f t="shared" si="0"/>
        <v>Stringer</v>
      </c>
      <c r="B29" s="64">
        <f t="shared" si="1"/>
        <v>27.85</v>
      </c>
      <c r="C29" s="65">
        <f t="shared" si="3"/>
        <v>6</v>
      </c>
      <c r="D29" s="64">
        <f t="shared" si="2"/>
        <v>22.5</v>
      </c>
      <c r="E29" s="65">
        <f t="shared" si="4"/>
        <v>7</v>
      </c>
      <c r="F29" s="64">
        <f t="shared" si="5"/>
        <v>23.25</v>
      </c>
      <c r="G29" s="65">
        <f t="shared" si="6"/>
        <v>8</v>
      </c>
      <c r="H29" s="66">
        <f t="shared" si="7"/>
        <v>73.6</v>
      </c>
      <c r="I29" s="67"/>
      <c r="J29" s="68">
        <f t="shared" si="8"/>
        <v>73.6</v>
      </c>
      <c r="K29" s="65">
        <f t="shared" si="9"/>
        <v>7</v>
      </c>
      <c r="L29" s="61">
        <f>Scores!W14</f>
        <v>82</v>
      </c>
      <c r="M29" s="65">
        <f t="shared" si="10"/>
        <v>3</v>
      </c>
      <c r="N29" s="61">
        <f>Scores!Z14</f>
        <v>75.5</v>
      </c>
      <c r="O29" s="65">
        <f t="shared" si="11"/>
        <v>8</v>
      </c>
      <c r="P29" s="58"/>
    </row>
    <row r="30" spans="1:16" ht="24.75" customHeight="1">
      <c r="A30" s="60" t="str">
        <f t="shared" si="0"/>
        <v>Enterprise</v>
      </c>
      <c r="B30" s="64">
        <f t="shared" si="1"/>
        <v>27.15</v>
      </c>
      <c r="C30" s="65">
        <f t="shared" si="3"/>
        <v>8</v>
      </c>
      <c r="D30" s="64">
        <f t="shared" si="2"/>
        <v>22.875</v>
      </c>
      <c r="E30" s="65">
        <f t="shared" si="4"/>
        <v>6</v>
      </c>
      <c r="F30" s="64">
        <f t="shared" si="5"/>
        <v>23.4</v>
      </c>
      <c r="G30" s="65">
        <f t="shared" si="6"/>
        <v>7</v>
      </c>
      <c r="H30" s="66">
        <f t="shared" si="7"/>
        <v>73.425</v>
      </c>
      <c r="I30" s="67"/>
      <c r="J30" s="68">
        <f t="shared" si="8"/>
        <v>73.425</v>
      </c>
      <c r="K30" s="65">
        <f t="shared" si="9"/>
        <v>8</v>
      </c>
      <c r="L30" s="61">
        <f>Scores!W16</f>
        <v>76.5</v>
      </c>
      <c r="M30" s="65">
        <f t="shared" si="10"/>
        <v>9</v>
      </c>
      <c r="N30" s="61">
        <f>Scores!Z16</f>
        <v>82</v>
      </c>
      <c r="O30" s="65">
        <f t="shared" si="11"/>
        <v>2</v>
      </c>
      <c r="P30" s="58"/>
    </row>
    <row r="31" spans="1:16" ht="24.75" customHeight="1">
      <c r="A31" s="60" t="str">
        <f t="shared" si="0"/>
        <v>Taylorsville</v>
      </c>
      <c r="B31" s="64">
        <f t="shared" si="1"/>
        <v>26.550000000000004</v>
      </c>
      <c r="C31" s="65">
        <f t="shared" si="3"/>
        <v>9</v>
      </c>
      <c r="D31" s="64">
        <f t="shared" si="2"/>
        <v>21.525</v>
      </c>
      <c r="E31" s="65">
        <f t="shared" si="4"/>
        <v>11</v>
      </c>
      <c r="F31" s="64">
        <f t="shared" si="5"/>
        <v>22.8</v>
      </c>
      <c r="G31" s="65">
        <f t="shared" si="6"/>
        <v>10</v>
      </c>
      <c r="H31" s="66">
        <f t="shared" si="7"/>
        <v>70.875</v>
      </c>
      <c r="I31" s="67"/>
      <c r="J31" s="68">
        <f t="shared" si="8"/>
        <v>70.875</v>
      </c>
      <c r="K31" s="65">
        <f t="shared" si="9"/>
        <v>9</v>
      </c>
      <c r="L31" s="61">
        <f>Scores!W18</f>
        <v>73</v>
      </c>
      <c r="M31" s="65">
        <f t="shared" si="10"/>
        <v>11</v>
      </c>
      <c r="N31" s="61">
        <f>Scores!Z18</f>
        <v>76.5</v>
      </c>
      <c r="O31" s="65">
        <f t="shared" si="11"/>
        <v>6</v>
      </c>
      <c r="P31" s="58"/>
    </row>
    <row r="32" spans="1:16" ht="24.75" customHeight="1">
      <c r="A32" s="60" t="str">
        <f t="shared" si="0"/>
        <v>Bruce</v>
      </c>
      <c r="B32" s="64">
        <f t="shared" si="1"/>
        <v>25.900000000000002</v>
      </c>
      <c r="C32" s="65">
        <f t="shared" si="3"/>
        <v>11</v>
      </c>
      <c r="D32" s="64">
        <f t="shared" si="2"/>
        <v>21.75</v>
      </c>
      <c r="E32" s="65">
        <f t="shared" si="4"/>
        <v>10</v>
      </c>
      <c r="F32" s="64">
        <f t="shared" si="5"/>
        <v>23.025</v>
      </c>
      <c r="G32" s="65">
        <f t="shared" si="6"/>
        <v>9</v>
      </c>
      <c r="H32" s="66">
        <f t="shared" si="7"/>
        <v>70.67500000000001</v>
      </c>
      <c r="I32" s="67"/>
      <c r="J32" s="68">
        <f t="shared" si="8"/>
        <v>70.67500000000001</v>
      </c>
      <c r="K32" s="65">
        <f t="shared" si="9"/>
        <v>10</v>
      </c>
      <c r="L32" s="61">
        <f>Scores!W20</f>
        <v>77.5</v>
      </c>
      <c r="M32" s="65">
        <f t="shared" si="10"/>
        <v>8</v>
      </c>
      <c r="N32" s="61">
        <f>Scores!Z20</f>
        <v>76</v>
      </c>
      <c r="O32" s="65">
        <f t="shared" si="11"/>
        <v>7</v>
      </c>
      <c r="P32" s="58"/>
    </row>
    <row r="33" spans="1:16" ht="24.75" customHeight="1">
      <c r="A33" s="60" t="str">
        <f t="shared" si="0"/>
        <v>Ackerman</v>
      </c>
      <c r="B33" s="64">
        <f t="shared" si="1"/>
        <v>28.1</v>
      </c>
      <c r="C33" s="65">
        <f t="shared" si="3"/>
        <v>5</v>
      </c>
      <c r="D33" s="64">
        <f t="shared" si="2"/>
        <v>22.049999999999997</v>
      </c>
      <c r="E33" s="65">
        <f t="shared" si="4"/>
        <v>8</v>
      </c>
      <c r="F33" s="64">
        <f t="shared" si="5"/>
        <v>23.625</v>
      </c>
      <c r="G33" s="65">
        <f t="shared" si="6"/>
        <v>6</v>
      </c>
      <c r="H33" s="66">
        <f t="shared" si="7"/>
        <v>73.775</v>
      </c>
      <c r="I33" s="67"/>
      <c r="J33" s="68">
        <f t="shared" si="8"/>
        <v>73.775</v>
      </c>
      <c r="K33" s="65">
        <f t="shared" si="9"/>
        <v>6</v>
      </c>
      <c r="L33" s="61">
        <f>Scores!W22</f>
        <v>80</v>
      </c>
      <c r="M33" s="65">
        <f t="shared" si="10"/>
        <v>5</v>
      </c>
      <c r="N33" s="61">
        <f>Scores!Z22</f>
        <v>71.5</v>
      </c>
      <c r="O33" s="65">
        <f t="shared" si="11"/>
        <v>11</v>
      </c>
      <c r="P33" s="58"/>
    </row>
    <row r="34" spans="1:16" ht="24.75" customHeight="1">
      <c r="A34" s="60" t="str">
        <f t="shared" si="0"/>
        <v>Baldwyn</v>
      </c>
      <c r="B34" s="64">
        <f t="shared" si="1"/>
        <v>28.35</v>
      </c>
      <c r="C34" s="65">
        <f t="shared" si="3"/>
        <v>4</v>
      </c>
      <c r="D34" s="64">
        <f t="shared" si="2"/>
        <v>23.174999999999997</v>
      </c>
      <c r="E34" s="65">
        <f t="shared" si="4"/>
        <v>5</v>
      </c>
      <c r="F34" s="64">
        <f t="shared" si="5"/>
        <v>24.225</v>
      </c>
      <c r="G34" s="65">
        <f t="shared" si="6"/>
        <v>4</v>
      </c>
      <c r="H34" s="66">
        <f t="shared" si="7"/>
        <v>75.75</v>
      </c>
      <c r="I34" s="67"/>
      <c r="J34" s="68">
        <f t="shared" si="8"/>
        <v>75.75</v>
      </c>
      <c r="K34" s="65">
        <f t="shared" si="9"/>
        <v>5</v>
      </c>
      <c r="L34" s="61">
        <f>Scores!W24</f>
        <v>79</v>
      </c>
      <c r="M34" s="65">
        <f t="shared" si="10"/>
        <v>6</v>
      </c>
      <c r="N34" s="61">
        <f>Scores!Z24</f>
        <v>74</v>
      </c>
      <c r="O34" s="65">
        <f t="shared" si="11"/>
        <v>9</v>
      </c>
      <c r="P34" s="58"/>
    </row>
    <row r="35" spans="1:16" ht="24.75" customHeight="1">
      <c r="A35" s="60" t="str">
        <f t="shared" si="0"/>
        <v>Eupora</v>
      </c>
      <c r="B35" s="64">
        <f t="shared" si="1"/>
        <v>30.950000000000003</v>
      </c>
      <c r="C35" s="65">
        <f t="shared" si="3"/>
        <v>2</v>
      </c>
      <c r="D35" s="64">
        <f t="shared" si="2"/>
        <v>23.7</v>
      </c>
      <c r="E35" s="65">
        <f t="shared" si="4"/>
        <v>3</v>
      </c>
      <c r="F35" s="64">
        <f t="shared" si="5"/>
        <v>25.65</v>
      </c>
      <c r="G35" s="65">
        <f t="shared" si="6"/>
        <v>1</v>
      </c>
      <c r="H35" s="66">
        <f t="shared" si="7"/>
        <v>80.30000000000001</v>
      </c>
      <c r="I35" s="67"/>
      <c r="J35" s="68">
        <f t="shared" si="8"/>
        <v>80.30000000000001</v>
      </c>
      <c r="K35" s="65">
        <f t="shared" si="9"/>
        <v>2</v>
      </c>
      <c r="L35" s="61">
        <f>Scores!W26</f>
        <v>83</v>
      </c>
      <c r="M35" s="65">
        <f t="shared" si="10"/>
        <v>2</v>
      </c>
      <c r="N35" s="61">
        <f>Scores!Z26</f>
        <v>85</v>
      </c>
      <c r="O35" s="65">
        <f t="shared" si="11"/>
        <v>1</v>
      </c>
      <c r="P35" s="58"/>
    </row>
    <row r="36" spans="1:16" ht="24.75" customHeight="1">
      <c r="A36" s="98">
        <f t="shared" si="0"/>
        <v>0</v>
      </c>
      <c r="B36" s="99">
        <f t="shared" si="1"/>
        <v>0</v>
      </c>
      <c r="C36" s="100">
        <f t="shared" si="3"/>
      </c>
      <c r="D36" s="99">
        <f t="shared" si="2"/>
        <v>0</v>
      </c>
      <c r="E36" s="100">
        <f t="shared" si="4"/>
      </c>
      <c r="F36" s="99">
        <f t="shared" si="5"/>
        <v>0</v>
      </c>
      <c r="G36" s="100">
        <f t="shared" si="6"/>
      </c>
      <c r="H36" s="101">
        <f t="shared" si="7"/>
        <v>0</v>
      </c>
      <c r="I36" s="102"/>
      <c r="J36" s="103">
        <f t="shared" si="8"/>
        <v>0</v>
      </c>
      <c r="K36" s="100">
        <f t="shared" si="9"/>
      </c>
      <c r="L36" s="104">
        <f>Scores!W28</f>
        <v>0</v>
      </c>
      <c r="M36" s="100">
        <f t="shared" si="10"/>
      </c>
      <c r="N36" s="104">
        <f>Scores!Z28</f>
        <v>0</v>
      </c>
      <c r="O36" s="100">
        <f t="shared" si="11"/>
      </c>
      <c r="P36" s="58"/>
    </row>
    <row r="37" spans="1:16" ht="24.75" customHeight="1">
      <c r="A37" s="98">
        <f t="shared" si="0"/>
        <v>0</v>
      </c>
      <c r="B37" s="99">
        <f t="shared" si="1"/>
        <v>0</v>
      </c>
      <c r="C37" s="100">
        <f t="shared" si="3"/>
      </c>
      <c r="D37" s="99">
        <f t="shared" si="2"/>
        <v>0</v>
      </c>
      <c r="E37" s="100">
        <f t="shared" si="4"/>
      </c>
      <c r="F37" s="99">
        <f t="shared" si="5"/>
        <v>0</v>
      </c>
      <c r="G37" s="100">
        <f t="shared" si="6"/>
      </c>
      <c r="H37" s="101">
        <f t="shared" si="7"/>
        <v>0</v>
      </c>
      <c r="I37" s="102"/>
      <c r="J37" s="103">
        <f t="shared" si="8"/>
        <v>0</v>
      </c>
      <c r="K37" s="100">
        <f t="shared" si="9"/>
      </c>
      <c r="L37" s="104">
        <f>Scores!W30</f>
        <v>0</v>
      </c>
      <c r="M37" s="100">
        <f t="shared" si="10"/>
      </c>
      <c r="N37" s="104">
        <f>Scores!Z30</f>
        <v>0</v>
      </c>
      <c r="O37" s="100">
        <f t="shared" si="11"/>
      </c>
      <c r="P37" s="58"/>
    </row>
    <row r="38" spans="1:16" ht="24.75" customHeight="1">
      <c r="A38" s="98">
        <f t="shared" si="0"/>
        <v>0</v>
      </c>
      <c r="B38" s="99">
        <f t="shared" si="1"/>
        <v>0</v>
      </c>
      <c r="C38" s="100">
        <f t="shared" si="3"/>
      </c>
      <c r="D38" s="99">
        <f t="shared" si="2"/>
        <v>0</v>
      </c>
      <c r="E38" s="100">
        <f t="shared" si="4"/>
      </c>
      <c r="F38" s="99">
        <f t="shared" si="5"/>
        <v>0</v>
      </c>
      <c r="G38" s="100">
        <f t="shared" si="6"/>
      </c>
      <c r="H38" s="101">
        <f t="shared" si="7"/>
        <v>0</v>
      </c>
      <c r="I38" s="102"/>
      <c r="J38" s="103">
        <f t="shared" si="8"/>
        <v>0</v>
      </c>
      <c r="K38" s="100">
        <f t="shared" si="9"/>
      </c>
      <c r="L38" s="104">
        <f>Scores!W32</f>
        <v>0</v>
      </c>
      <c r="M38" s="100">
        <f t="shared" si="10"/>
      </c>
      <c r="N38" s="104">
        <f>Scores!Z32</f>
        <v>0</v>
      </c>
      <c r="O38" s="100">
        <f t="shared" si="11"/>
      </c>
      <c r="P38" s="58"/>
    </row>
    <row r="39" spans="1:16" ht="24.75" customHeight="1">
      <c r="A39" s="98">
        <f t="shared" si="0"/>
        <v>0</v>
      </c>
      <c r="B39" s="99">
        <f t="shared" si="1"/>
        <v>0</v>
      </c>
      <c r="C39" s="100">
        <f t="shared" si="3"/>
      </c>
      <c r="D39" s="99">
        <f t="shared" si="2"/>
        <v>0</v>
      </c>
      <c r="E39" s="100">
        <f t="shared" si="4"/>
      </c>
      <c r="F39" s="99">
        <f t="shared" si="5"/>
        <v>0</v>
      </c>
      <c r="G39" s="100">
        <f t="shared" si="6"/>
      </c>
      <c r="H39" s="101">
        <f t="shared" si="7"/>
        <v>0</v>
      </c>
      <c r="I39" s="102"/>
      <c r="J39" s="103">
        <f t="shared" si="8"/>
        <v>0</v>
      </c>
      <c r="K39" s="100">
        <f t="shared" si="9"/>
      </c>
      <c r="L39" s="104">
        <f>Scores!W34</f>
        <v>0</v>
      </c>
      <c r="M39" s="100">
        <f t="shared" si="10"/>
      </c>
      <c r="N39" s="104">
        <f>Scores!Z34</f>
        <v>0</v>
      </c>
      <c r="O39" s="100">
        <f t="shared" si="11"/>
      </c>
      <c r="P39" s="58"/>
    </row>
    <row r="40" spans="1:16" ht="24.75" customHeight="1">
      <c r="A40" s="98">
        <f t="shared" si="0"/>
        <v>0</v>
      </c>
      <c r="B40" s="99">
        <f t="shared" si="1"/>
        <v>0</v>
      </c>
      <c r="C40" s="100">
        <f t="shared" si="3"/>
      </c>
      <c r="D40" s="99">
        <f t="shared" si="2"/>
        <v>0</v>
      </c>
      <c r="E40" s="100">
        <f t="shared" si="4"/>
      </c>
      <c r="F40" s="99">
        <f t="shared" si="5"/>
        <v>0</v>
      </c>
      <c r="G40" s="100">
        <f t="shared" si="6"/>
      </c>
      <c r="H40" s="101">
        <f t="shared" si="7"/>
        <v>0</v>
      </c>
      <c r="I40" s="102"/>
      <c r="J40" s="103">
        <f t="shared" si="8"/>
        <v>0</v>
      </c>
      <c r="K40" s="100">
        <f t="shared" si="9"/>
      </c>
      <c r="L40" s="104">
        <f>Scores!W36</f>
        <v>0</v>
      </c>
      <c r="M40" s="100">
        <f t="shared" si="10"/>
      </c>
      <c r="N40" s="104">
        <f>Scores!Z36</f>
        <v>0</v>
      </c>
      <c r="O40" s="100">
        <f t="shared" si="11"/>
      </c>
      <c r="P40" s="58"/>
    </row>
    <row r="41" spans="1:16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</sheetData>
  <sheetProtection selectLockedCells="1"/>
  <mergeCells count="67">
    <mergeCell ref="F19:G19"/>
    <mergeCell ref="A3:J3"/>
    <mergeCell ref="F4:H4"/>
    <mergeCell ref="F20:G20"/>
    <mergeCell ref="F10:G10"/>
    <mergeCell ref="F11:G11"/>
    <mergeCell ref="F12:G12"/>
    <mergeCell ref="F5:G5"/>
    <mergeCell ref="F6:G6"/>
    <mergeCell ref="F7:G7"/>
    <mergeCell ref="F8:G8"/>
    <mergeCell ref="F9:G9"/>
    <mergeCell ref="D17:E17"/>
    <mergeCell ref="D18:E18"/>
    <mergeCell ref="F13:G13"/>
    <mergeCell ref="F14:G14"/>
    <mergeCell ref="F15:G15"/>
    <mergeCell ref="F16:G16"/>
    <mergeCell ref="F17:G17"/>
    <mergeCell ref="F18:G18"/>
    <mergeCell ref="D19:E19"/>
    <mergeCell ref="D20:E20"/>
    <mergeCell ref="D13:E13"/>
    <mergeCell ref="D14:E14"/>
    <mergeCell ref="D15:E15"/>
    <mergeCell ref="D16:E16"/>
    <mergeCell ref="B18:C18"/>
    <mergeCell ref="B19:C19"/>
    <mergeCell ref="B20:C20"/>
    <mergeCell ref="B13:C13"/>
    <mergeCell ref="B14:C14"/>
    <mergeCell ref="B15:C15"/>
    <mergeCell ref="B16:C16"/>
    <mergeCell ref="D11:E11"/>
    <mergeCell ref="D12:E12"/>
    <mergeCell ref="B9:C9"/>
    <mergeCell ref="B17:C17"/>
    <mergeCell ref="F23:G23"/>
    <mergeCell ref="L4:O20"/>
    <mergeCell ref="B8:C8"/>
    <mergeCell ref="H23:K23"/>
    <mergeCell ref="L23:M23"/>
    <mergeCell ref="N23:O23"/>
    <mergeCell ref="B11:C11"/>
    <mergeCell ref="B12:C12"/>
    <mergeCell ref="D7:E7"/>
    <mergeCell ref="D8:E8"/>
    <mergeCell ref="D5:E5"/>
    <mergeCell ref="B6:C6"/>
    <mergeCell ref="D6:E6"/>
    <mergeCell ref="B10:C10"/>
    <mergeCell ref="D9:E9"/>
    <mergeCell ref="D10:E10"/>
    <mergeCell ref="A23:A24"/>
    <mergeCell ref="B23:C23"/>
    <mergeCell ref="D23:E23"/>
    <mergeCell ref="A1:O1"/>
    <mergeCell ref="A2:O2"/>
    <mergeCell ref="A4:A5"/>
    <mergeCell ref="I4:J4"/>
    <mergeCell ref="B4:E4"/>
    <mergeCell ref="B7:C7"/>
    <mergeCell ref="B5:C5"/>
    <mergeCell ref="B21:C21"/>
    <mergeCell ref="D21:E21"/>
    <mergeCell ref="F21:G21"/>
    <mergeCell ref="A22:M22"/>
  </mergeCells>
  <printOptions horizontalCentered="1" verticalCentered="1"/>
  <pageMargins left="0" right="0" top="0" bottom="0" header="0.5" footer="0.5"/>
  <pageSetup fitToHeight="1" fitToWidth="1" horizontalDpi="300" verticalDpi="300" orientation="landscape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E9" sqref="E9"/>
    </sheetView>
  </sheetViews>
  <sheetFormatPr defaultColWidth="9.140625" defaultRowHeight="12.75"/>
  <cols>
    <col min="1" max="1" width="6.28125" style="9" customWidth="1"/>
    <col min="2" max="2" width="15.7109375" style="3" customWidth="1"/>
    <col min="3" max="3" width="6.7109375" style="3" customWidth="1"/>
    <col min="4" max="4" width="15.7109375" style="3" customWidth="1"/>
    <col min="5" max="5" width="6.7109375" style="3" customWidth="1"/>
    <col min="6" max="6" width="15.7109375" style="3" customWidth="1"/>
    <col min="7" max="7" width="6.7109375" style="3" customWidth="1"/>
    <col min="8" max="8" width="15.7109375" style="3" customWidth="1"/>
    <col min="9" max="9" width="6.7109375" style="3" customWidth="1"/>
    <col min="10" max="10" width="15.7109375" style="3" customWidth="1"/>
    <col min="11" max="11" width="6.7109375" style="3" customWidth="1"/>
    <col min="12" max="12" width="15.7109375" style="3" customWidth="1"/>
    <col min="13" max="13" width="6.7109375" style="3" customWidth="1"/>
    <col min="14" max="16384" width="9.140625" style="3" customWidth="1"/>
  </cols>
  <sheetData>
    <row r="1" spans="1:14" ht="18">
      <c r="A1" s="69" t="str">
        <f>Scores!A1</f>
        <v>2009 MHSAA-MBA STATE MARCHING BAND CHAMPIONSHIP - PRELIMINARY ROUND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>
      <c r="A2" s="70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" customHeight="1">
      <c r="A3" s="124" t="s">
        <v>8</v>
      </c>
      <c r="B3" s="131" t="s">
        <v>2</v>
      </c>
      <c r="C3" s="131"/>
      <c r="D3" s="131" t="s">
        <v>16</v>
      </c>
      <c r="E3" s="131"/>
      <c r="F3" s="131" t="s">
        <v>19</v>
      </c>
      <c r="G3" s="138"/>
      <c r="H3" s="131" t="s">
        <v>17</v>
      </c>
      <c r="I3" s="131"/>
      <c r="J3" s="136" t="s">
        <v>4</v>
      </c>
      <c r="K3" s="136"/>
      <c r="L3" s="137" t="s">
        <v>12</v>
      </c>
      <c r="M3" s="137"/>
      <c r="N3" s="11"/>
    </row>
    <row r="4" spans="1:14" ht="18" customHeight="1">
      <c r="A4" s="124"/>
      <c r="B4" s="59" t="s">
        <v>42</v>
      </c>
      <c r="C4" s="59" t="s">
        <v>43</v>
      </c>
      <c r="D4" s="59" t="s">
        <v>42</v>
      </c>
      <c r="E4" s="59" t="s">
        <v>43</v>
      </c>
      <c r="F4" s="59" t="s">
        <v>42</v>
      </c>
      <c r="G4" s="59" t="s">
        <v>43</v>
      </c>
      <c r="H4" s="59" t="s">
        <v>42</v>
      </c>
      <c r="I4" s="59" t="s">
        <v>43</v>
      </c>
      <c r="J4" s="59" t="s">
        <v>42</v>
      </c>
      <c r="K4" s="59" t="s">
        <v>43</v>
      </c>
      <c r="L4" s="59" t="s">
        <v>42</v>
      </c>
      <c r="M4" s="59" t="s">
        <v>43</v>
      </c>
      <c r="N4" s="11"/>
    </row>
    <row r="5" spans="1:14" ht="18" customHeight="1">
      <c r="A5" s="36">
        <v>1</v>
      </c>
      <c r="B5" s="37" t="str">
        <f>INDEX(Recap!$A$24:$O$40,MATCH(1,Recap!$C$24:$C$40,0),1)</f>
        <v>Union</v>
      </c>
      <c r="C5" s="84">
        <f>INDEX(Recap!$A$24:$O$40,MATCH(1,Recap!$C$24:$C$40,0),2)</f>
        <v>31.25</v>
      </c>
      <c r="D5" s="37" t="str">
        <f>INDEX(Recap!$A$24:$O$40,MATCH(1,Recap!$E$24:$E$40,0),1)</f>
        <v>Union</v>
      </c>
      <c r="E5" s="84">
        <f>INDEX(Recap!$A$24:$O$40,MATCH(1,Recap!$E$24:$E$40,0),4)</f>
        <v>25.275</v>
      </c>
      <c r="F5" s="37" t="str">
        <f>INDEX(Recap!$A$24:$O$40,MATCH(1,Recap!$G$24:$G$40,0),1)</f>
        <v>Eupora</v>
      </c>
      <c r="G5" s="84">
        <f>INDEX(Recap!$A$24:$O$40,MATCH(1,Recap!$G$24:$G$40,0),6)</f>
        <v>25.65</v>
      </c>
      <c r="H5" s="37" t="str">
        <f>INDEX(Recap!$A$24:$O$40,MATCH(1,Recap!$K$24:$K$40,0),1)</f>
        <v>Union</v>
      </c>
      <c r="I5" s="84">
        <f>INDEX(Recap!$A$24:$O$40,MATCH(1,Recap!$K$24:$K$40,0),10)</f>
        <v>81.65</v>
      </c>
      <c r="J5" s="37" t="str">
        <f>INDEX(Recap!$A$24:$O$40,MATCH(1,Recap!$M$24:$M$40,0),1)</f>
        <v>Wesson</v>
      </c>
      <c r="K5" s="84">
        <f>INDEX(Recap!$A$24:$O$40,MATCH(1,Recap!$M$24:$M$40,0),12)</f>
        <v>84.5</v>
      </c>
      <c r="L5" s="37" t="str">
        <f>INDEX(Recap!$A$24:$O$40,MATCH(1,Recap!$O$24:$O$40,0),1)</f>
        <v>Eupora</v>
      </c>
      <c r="M5" s="84">
        <f>INDEX(Recap!$A$24:$O$40,MATCH(1,Recap!$O$24:$O$40,0),14)</f>
        <v>85</v>
      </c>
      <c r="N5" s="11"/>
    </row>
    <row r="6" spans="1:14" ht="18" customHeight="1">
      <c r="A6" s="36">
        <v>2</v>
      </c>
      <c r="B6" s="37" t="str">
        <f>INDEX(Recap!$A$24:$O$40,MATCH(2,Recap!$C$24:$C$40,0),1)</f>
        <v>Eupora</v>
      </c>
      <c r="C6" s="84">
        <f>INDEX(Recap!$A$24:$O$40,MATCH(2,Recap!$C$24:$C$40,0),2)</f>
        <v>30.950000000000003</v>
      </c>
      <c r="D6" s="37" t="str">
        <f>INDEX(Recap!$A$24:$O$40,MATCH(2,Recap!$E$24:$E$40,0),1)</f>
        <v>Scott Central</v>
      </c>
      <c r="E6" s="84">
        <f>INDEX(Recap!$A$24:$O$40,MATCH(2,Recap!$E$24:$E$40,0),4)</f>
        <v>24.225</v>
      </c>
      <c r="F6" s="37" t="str">
        <f>INDEX(Recap!$A$24:$O$40,MATCH(2,Recap!$G$24:$G$40,0),1)</f>
        <v>Union</v>
      </c>
      <c r="G6" s="84">
        <f>INDEX(Recap!$A$24:$O$40,MATCH(2,Recap!$G$24:$G$40,0),6)</f>
        <v>25.125</v>
      </c>
      <c r="H6" s="37" t="str">
        <f>INDEX(Recap!$A$24:$O$40,MATCH(2,Recap!$K$24:$K$40,0),1)</f>
        <v>Eupora</v>
      </c>
      <c r="I6" s="84">
        <f>INDEX(Recap!$A$24:$O$40,MATCH(2,Recap!$K$24:$K$40,0),10)</f>
        <v>80.30000000000001</v>
      </c>
      <c r="J6" s="37" t="str">
        <f>INDEX(Recap!$A$24:$O$40,MATCH(2,Recap!$M$24:$M$40,0),1)</f>
        <v>Eupora</v>
      </c>
      <c r="K6" s="84">
        <f>INDEX(Recap!$A$24:$O$40,MATCH(2,Recap!$M$24:$M$40,0),12)</f>
        <v>83</v>
      </c>
      <c r="L6" s="37" t="str">
        <f>INDEX(Recap!$A$24:$O$40,MATCH(2,Recap!$O$24:$O$40,0),1)</f>
        <v>Enterprise</v>
      </c>
      <c r="M6" s="84">
        <f>INDEX(Recap!$A$24:$O$40,MATCH(2,Recap!$O$24:$O$40,0),14)</f>
        <v>82</v>
      </c>
      <c r="N6" s="11"/>
    </row>
    <row r="7" spans="1:14" ht="18" customHeight="1">
      <c r="A7" s="36">
        <v>3</v>
      </c>
      <c r="B7" s="37" t="str">
        <f>INDEX(Recap!$A$24:$O$40,MATCH(3,Recap!$C$24:$C$40,0),1)</f>
        <v>Scott Central</v>
      </c>
      <c r="C7" s="84">
        <f>INDEX(Recap!$A$24:$O$40,MATCH(3,Recap!$C$24:$C$40,0),2)</f>
        <v>30.400000000000002</v>
      </c>
      <c r="D7" s="37" t="str">
        <f>INDEX(Recap!$A$24:$O$40,MATCH(3,Recap!$E$24:$E$40,0),1)</f>
        <v>Wesson</v>
      </c>
      <c r="E7" s="84">
        <f>INDEX(Recap!$A$24:$O$40,MATCH(3,Recap!$E$24:$E$40,0),4)</f>
        <v>23.7</v>
      </c>
      <c r="F7" s="37" t="str">
        <f>INDEX(Recap!$A$24:$O$40,MATCH(3,Recap!$G$24:$G$40,0),1)</f>
        <v>Wesson</v>
      </c>
      <c r="G7" s="84">
        <f>INDEX(Recap!$A$24:$O$40,MATCH(3,Recap!$G$24:$G$40,0),6)</f>
        <v>24.975</v>
      </c>
      <c r="H7" s="37" t="str">
        <f>INDEX(Recap!$A$24:$O$40,MATCH(3,Recap!$K$24:$K$40,0),1)</f>
        <v>Scott Central</v>
      </c>
      <c r="I7" s="84">
        <f>INDEX(Recap!$A$24:$O$40,MATCH(3,Recap!$K$24:$K$40,0),10)</f>
        <v>78.7</v>
      </c>
      <c r="J7" s="37" t="str">
        <f>INDEX(Recap!$A$24:$O$40,MATCH(3,Recap!$M$24:$M$40,0),1)</f>
        <v>Stringer</v>
      </c>
      <c r="K7" s="84">
        <f>INDEX(Recap!$A$24:$O$40,MATCH(3,Recap!$M$24:$M$40,0),12)</f>
        <v>82</v>
      </c>
      <c r="L7" s="37" t="str">
        <f>INDEX(Recap!$A$24:$O$40,MATCH(3,Recap!$O$24:$O$40,0),1)</f>
        <v>Wesson</v>
      </c>
      <c r="M7" s="84">
        <f>INDEX(Recap!$A$24:$O$40,MATCH(3,Recap!$O$24:$O$40,0),14)</f>
        <v>80</v>
      </c>
      <c r="N7" s="11"/>
    </row>
    <row r="8" spans="1:14" ht="18" customHeight="1">
      <c r="A8" s="36">
        <v>4</v>
      </c>
      <c r="B8" s="37" t="str">
        <f>INDEX(Recap!$A$24:$O$40,MATCH(4,Recap!$C$24:$C$40,0),1)</f>
        <v>Baldwyn</v>
      </c>
      <c r="C8" s="84">
        <f>INDEX(Recap!$A$24:$O$40,MATCH(4,Recap!$C$24:$C$40,0),2)</f>
        <v>28.35</v>
      </c>
      <c r="D8" s="37" t="str">
        <f>Recap!A35</f>
        <v>Eupora</v>
      </c>
      <c r="E8" s="84">
        <f>Recap!D35</f>
        <v>23.7</v>
      </c>
      <c r="F8" s="37" t="str">
        <f>INDEX(Recap!$A$24:$O$40,MATCH(4,Recap!$G$24:$G$40,0),1)</f>
        <v>Baldwyn</v>
      </c>
      <c r="G8" s="84">
        <f>INDEX(Recap!$A$24:$O$40,MATCH(4,Recap!$G$24:$G$40,0),6)</f>
        <v>24.225</v>
      </c>
      <c r="H8" s="37" t="str">
        <f>INDEX(Recap!$A$24:$O$40,MATCH(4,Recap!$K$24:$K$40,0),1)</f>
        <v>Wesson</v>
      </c>
      <c r="I8" s="84">
        <f>INDEX(Recap!$A$24:$O$40,MATCH(4,Recap!$K$24:$K$40,0),10)</f>
        <v>76.42500000000001</v>
      </c>
      <c r="J8" s="37" t="str">
        <f>INDEX(Recap!$A$24:$O$40,MATCH(4,Recap!$M$24:$M$40,0),1)</f>
        <v>Union</v>
      </c>
      <c r="K8" s="84">
        <f>INDEX(Recap!$A$24:$O$40,MATCH(4,Recap!$M$24:$M$40,0),12)</f>
        <v>81</v>
      </c>
      <c r="L8" s="37" t="str">
        <f>INDEX(Recap!$A$24:$O$40,MATCH(4,Recap!$O$24:$O$40,0),1)</f>
        <v>Union</v>
      </c>
      <c r="M8" s="84">
        <f>INDEX(Recap!$A$24:$O$40,MATCH(4,Recap!$O$24:$O$40,0),14)</f>
        <v>78</v>
      </c>
      <c r="N8" s="11"/>
    </row>
    <row r="9" spans="1:14" ht="18" customHeight="1">
      <c r="A9" s="36">
        <v>5</v>
      </c>
      <c r="B9" s="37" t="str">
        <f>INDEX(Recap!$A$24:$O$40,MATCH(5,Recap!$C$24:$C$40,0),1)</f>
        <v>Ackerman</v>
      </c>
      <c r="C9" s="84">
        <f>INDEX(Recap!$A$24:$O$40,MATCH(5,Recap!$C$24:$C$40,0),2)</f>
        <v>28.1</v>
      </c>
      <c r="D9" s="37" t="str">
        <f>INDEX(Recap!$A$24:$O$40,MATCH(5,Recap!$E$24:$E$40,0),1)</f>
        <v>Baldwyn</v>
      </c>
      <c r="E9" s="84">
        <f>INDEX(Recap!$A$24:$O$40,MATCH(5,Recap!$E$24:$E$40,0),4)</f>
        <v>23.174999999999997</v>
      </c>
      <c r="F9" s="37" t="str">
        <f>INDEX(Recap!$A$24:$O$40,MATCH(5,Recap!$G$24:$G$40,0),1)</f>
        <v>Scott Central</v>
      </c>
      <c r="G9" s="84">
        <f>INDEX(Recap!$A$24:$O$40,MATCH(5,Recap!$G$24:$G$40,0),6)</f>
        <v>24.075</v>
      </c>
      <c r="H9" s="37" t="str">
        <f>INDEX(Recap!$A$24:$O$40,MATCH(5,Recap!$K$24:$K$40,0),1)</f>
        <v>Baldwyn</v>
      </c>
      <c r="I9" s="84">
        <f>INDEX(Recap!$A$24:$O$40,MATCH(5,Recap!$K$24:$K$40,0),10)</f>
        <v>75.75</v>
      </c>
      <c r="J9" s="37" t="str">
        <f>INDEX(Recap!$A$24:$O$40,MATCH(5,Recap!$M$24:$M$40,0),1)</f>
        <v>Ackerman</v>
      </c>
      <c r="K9" s="84">
        <f>INDEX(Recap!$A$24:$O$40,MATCH(5,Recap!$M$24:$M$40,0),12)</f>
        <v>80</v>
      </c>
      <c r="L9" s="37" t="str">
        <f>INDEX(Recap!$A$24:$O$40,MATCH(5,Recap!$O$24:$O$40,0),1)</f>
        <v>Scott Central</v>
      </c>
      <c r="M9" s="84">
        <f>INDEX(Recap!$A$24:$O$40,MATCH(5,Recap!$O$24:$O$40,0),14)</f>
        <v>77</v>
      </c>
      <c r="N9" s="11"/>
    </row>
    <row r="10" spans="1:14" ht="18" customHeight="1">
      <c r="A10" s="36">
        <v>6</v>
      </c>
      <c r="B10" s="37" t="str">
        <f>INDEX(Recap!$A$24:$O$40,MATCH(6,Recap!$C$24:$C$40,0),1)</f>
        <v>Stringer</v>
      </c>
      <c r="C10" s="84">
        <f>INDEX(Recap!$A$24:$O$40,MATCH(6,Recap!$C$24:$C$40,0),2)</f>
        <v>27.85</v>
      </c>
      <c r="D10" s="37" t="str">
        <f>INDEX(Recap!$A$24:$O$40,MATCH(6,Recap!$E$24:$E$40,0),1)</f>
        <v>Enterprise</v>
      </c>
      <c r="E10" s="84">
        <f>INDEX(Recap!$A$24:$O$40,MATCH(6,Recap!$E$24:$E$40,0),4)</f>
        <v>22.875</v>
      </c>
      <c r="F10" s="37" t="str">
        <f>INDEX(Recap!$A$24:$O$40,MATCH(6,Recap!$G$24:$G$40,0),1)</f>
        <v>Ackerman</v>
      </c>
      <c r="G10" s="84">
        <f>INDEX(Recap!$A$24:$O$40,MATCH(6,Recap!$G$24:$G$40,0),6)</f>
        <v>23.625</v>
      </c>
      <c r="H10" s="37" t="str">
        <f>INDEX(Recap!$A$24:$O$40,MATCH(6,Recap!$K$24:$K$40,0),1)</f>
        <v>Ackerman</v>
      </c>
      <c r="I10" s="84">
        <f>INDEX(Recap!$A$24:$O$40,MATCH(6,Recap!$K$24:$K$40,0),10)</f>
        <v>73.775</v>
      </c>
      <c r="J10" s="37" t="str">
        <f>INDEX(Recap!$A$24:$O$40,MATCH(6,Recap!$M$24:$M$40,0),1)</f>
        <v>Baldwyn</v>
      </c>
      <c r="K10" s="84">
        <f>INDEX(Recap!$A$24:$O$40,MATCH(6,Recap!$M$24:$M$40,0),12)</f>
        <v>79</v>
      </c>
      <c r="L10" s="37" t="str">
        <f>INDEX(Recap!$A$24:$O$40,MATCH(6,Recap!$O$24:$O$40,0),1)</f>
        <v>Taylorsville</v>
      </c>
      <c r="M10" s="84">
        <f>INDEX(Recap!$A$24:$O$40,MATCH(6,Recap!$O$24:$O$40,0),14)</f>
        <v>76.5</v>
      </c>
      <c r="N10" s="11"/>
    </row>
    <row r="11" spans="1:14" ht="18" customHeight="1">
      <c r="A11" s="36">
        <v>7</v>
      </c>
      <c r="B11" s="37" t="str">
        <f>INDEX(Recap!$A$24:$O$40,MATCH(7,Recap!$C$24:$C$40,0),1)</f>
        <v>Wesson</v>
      </c>
      <c r="C11" s="84">
        <f>INDEX(Recap!$A$24:$O$40,MATCH(7,Recap!$C$24:$C$40,0),2)</f>
        <v>27.75</v>
      </c>
      <c r="D11" s="37" t="str">
        <f>INDEX(Recap!$A$24:$O$40,MATCH(7,Recap!$E$24:$E$40,0),1)</f>
        <v>Stringer</v>
      </c>
      <c r="E11" s="84">
        <f>INDEX(Recap!$A$24:$O$40,MATCH(7,Recap!$E$24:$E$40,0),4)</f>
        <v>22.5</v>
      </c>
      <c r="F11" s="37" t="str">
        <f>INDEX(Recap!$A$24:$O$40,MATCH(7,Recap!$G$24:$G$40,0),1)</f>
        <v>Enterprise</v>
      </c>
      <c r="G11" s="84">
        <f>INDEX(Recap!$A$24:$O$40,MATCH(7,Recap!$G$24:$G$40,0),6)</f>
        <v>23.4</v>
      </c>
      <c r="H11" s="37" t="str">
        <f>INDEX(Recap!$A$24:$O$40,MATCH(7,Recap!$K$24:$K$40,0),1)</f>
        <v>Stringer</v>
      </c>
      <c r="I11" s="84">
        <f>INDEX(Recap!$A$24:$O$40,MATCH(7,Recap!$K$24:$K$40,0),10)</f>
        <v>73.6</v>
      </c>
      <c r="J11" s="37" t="str">
        <f>INDEX(Recap!$A$24:$O$40,MATCH(7,Recap!$M$24:$M$40,0),1)</f>
        <v>Scott Central</v>
      </c>
      <c r="K11" s="84">
        <f>INDEX(Recap!$A$24:$O$40,MATCH(7,Recap!$M$24:$M$40,0),12)</f>
        <v>78.5</v>
      </c>
      <c r="L11" s="37" t="str">
        <f>INDEX(Recap!$A$24:$O$40,MATCH(7,Recap!$O$24:$O$40,0),1)</f>
        <v>Bruce</v>
      </c>
      <c r="M11" s="84">
        <f>INDEX(Recap!$A$24:$O$40,MATCH(7,Recap!$O$24:$O$40,0),14)</f>
        <v>76</v>
      </c>
      <c r="N11" s="11"/>
    </row>
    <row r="12" spans="1:14" ht="18" customHeight="1">
      <c r="A12" s="36">
        <v>8</v>
      </c>
      <c r="B12" s="37" t="str">
        <f>INDEX(Recap!$A$24:$O$40,MATCH(8,Recap!$C$24:$C$40,0),1)</f>
        <v>Enterprise</v>
      </c>
      <c r="C12" s="84">
        <f>INDEX(Recap!$A$24:$O$40,MATCH(8,Recap!$C$24:$C$40,0),2)</f>
        <v>27.15</v>
      </c>
      <c r="D12" s="37" t="str">
        <f>INDEX(Recap!$A$24:$O$40,MATCH(8,Recap!$E$24:$E$40,0),1)</f>
        <v>Ackerman</v>
      </c>
      <c r="E12" s="84">
        <f>INDEX(Recap!$A$24:$O$40,MATCH(8,Recap!$E$24:$E$40,0),4)</f>
        <v>22.049999999999997</v>
      </c>
      <c r="F12" s="37" t="str">
        <f>INDEX(Recap!$A$24:$O$40,MATCH(8,Recap!$G$24:$G$40,0),1)</f>
        <v>Stringer</v>
      </c>
      <c r="G12" s="84">
        <f>INDEX(Recap!$A$24:$O$40,MATCH(8,Recap!$G$24:$G$40,0),6)</f>
        <v>23.25</v>
      </c>
      <c r="H12" s="37" t="str">
        <f>INDEX(Recap!$A$24:$O$40,MATCH(8,Recap!$K$24:$K$40,0),1)</f>
        <v>Enterprise</v>
      </c>
      <c r="I12" s="84">
        <f>INDEX(Recap!$A$24:$O$40,MATCH(8,Recap!$K$24:$K$40,0),10)</f>
        <v>73.425</v>
      </c>
      <c r="J12" s="37" t="str">
        <f>INDEX(Recap!$A$24:$O$40,MATCH(8,Recap!$M$24:$M$40,0),1)</f>
        <v>Bruce</v>
      </c>
      <c r="K12" s="84">
        <f>INDEX(Recap!$A$24:$O$40,MATCH(8,Recap!$M$24:$M$40,0),12)</f>
        <v>77.5</v>
      </c>
      <c r="L12" s="37" t="str">
        <f>INDEX(Recap!$A$24:$O$40,MATCH(8,Recap!$O$24:$O$40,0),1)</f>
        <v>Stringer</v>
      </c>
      <c r="M12" s="84">
        <f>INDEX(Recap!$A$24:$O$40,MATCH(8,Recap!$O$24:$O$40,0),14)</f>
        <v>75.5</v>
      </c>
      <c r="N12" s="11"/>
    </row>
    <row r="13" spans="1:14" ht="18" customHeight="1">
      <c r="A13" s="36">
        <v>9</v>
      </c>
      <c r="B13" s="37" t="str">
        <f>INDEX(Recap!$A$24:$O$40,MATCH(9,Recap!$C$24:$C$40,0),1)</f>
        <v>Taylorsville</v>
      </c>
      <c r="C13" s="84">
        <f>INDEX(Recap!$A$24:$O$40,MATCH(9,Recap!$C$24:$C$40,0),2)</f>
        <v>26.550000000000004</v>
      </c>
      <c r="D13" s="37" t="str">
        <f>INDEX(Recap!$A$24:$O$40,MATCH(9,Recap!$E$24:$E$40,0),1)</f>
        <v>Richton</v>
      </c>
      <c r="E13" s="84">
        <f>INDEX(Recap!$A$24:$O$40,MATCH(9,Recap!$E$24:$E$40,0),4)</f>
        <v>21.975</v>
      </c>
      <c r="F13" s="37" t="str">
        <f>INDEX(Recap!$A$24:$O$40,MATCH(9,Recap!$G$24:$G$40,0),1)</f>
        <v>Bruce</v>
      </c>
      <c r="G13" s="84">
        <f>INDEX(Recap!$A$24:$O$40,MATCH(9,Recap!$G$24:$G$40,0),6)</f>
        <v>23.025</v>
      </c>
      <c r="H13" s="37" t="str">
        <f>INDEX(Recap!$A$24:$O$40,MATCH(9,Recap!$K$24:$K$40,0),1)</f>
        <v>Taylorsville</v>
      </c>
      <c r="I13" s="84">
        <f>INDEX(Recap!$A$24:$O$40,MATCH(9,Recap!$K$24:$K$40,0),10)</f>
        <v>70.875</v>
      </c>
      <c r="J13" s="37" t="str">
        <f>INDEX(Recap!$A$24:$O$40,MATCH(9,Recap!$M$24:$M$40,0),1)</f>
        <v>Enterprise</v>
      </c>
      <c r="K13" s="84">
        <f>INDEX(Recap!$A$24:$O$40,MATCH(9,Recap!$M$24:$M$40,0),12)</f>
        <v>76.5</v>
      </c>
      <c r="L13" s="37" t="str">
        <f>INDEX(Recap!$A$24:$O$40,MATCH(9,Recap!$O$24:$O$40,0),1)</f>
        <v>Baldwyn</v>
      </c>
      <c r="M13" s="84">
        <f>INDEX(Recap!$A$24:$O$40,MATCH(9,Recap!$O$24:$O$40,0),14)</f>
        <v>74</v>
      </c>
      <c r="N13" s="11"/>
    </row>
    <row r="14" spans="1:14" ht="18" customHeight="1">
      <c r="A14" s="36">
        <v>10</v>
      </c>
      <c r="B14" s="37" t="str">
        <f>INDEX(Recap!$A$24:$O$40,MATCH(10,Recap!$C$24:$C$40,0),1)</f>
        <v>Richton</v>
      </c>
      <c r="C14" s="84">
        <f>INDEX(Recap!$A$24:$O$40,MATCH(10,Recap!$C$24:$C$40,0),2)</f>
        <v>26.5</v>
      </c>
      <c r="D14" s="37" t="str">
        <f>INDEX(Recap!$A$24:$O$40,MATCH(10,Recap!$E$24:$E$40,0),1)</f>
        <v>Bruce</v>
      </c>
      <c r="E14" s="84">
        <f>INDEX(Recap!$A$24:$O$40,MATCH(10,Recap!$E$24:$E$40,0),4)</f>
        <v>21.75</v>
      </c>
      <c r="F14" s="37" t="str">
        <f>INDEX(Recap!$A$24:$O$40,MATCH(10,Recap!$G$24:$G$40,0),1)</f>
        <v>Taylorsville</v>
      </c>
      <c r="G14" s="84">
        <f>INDEX(Recap!$A$24:$O$40,MATCH(10,Recap!$G$24:$G$40,0),6)</f>
        <v>22.8</v>
      </c>
      <c r="H14" s="37" t="str">
        <f>INDEX(Recap!$A$24:$O$40,MATCH(10,Recap!$K$24:$K$40,0),1)</f>
        <v>Bruce</v>
      </c>
      <c r="I14" s="84">
        <f>INDEX(Recap!$A$24:$O$40,MATCH(10,Recap!$K$24:$K$40,0),10)</f>
        <v>70.67500000000001</v>
      </c>
      <c r="J14" s="37" t="str">
        <f>INDEX(Recap!$A$24:$O$40,MATCH(10,Recap!$M$24:$M$40,0),1)</f>
        <v>Richton</v>
      </c>
      <c r="K14" s="84">
        <f>INDEX(Recap!$A$24:$O$40,MATCH(10,Recap!$M$24:$M$40,0),12)</f>
        <v>74.5</v>
      </c>
      <c r="L14" s="37" t="str">
        <f>INDEX(Recap!$A$24:$O$40,MATCH(10,Recap!$O$24:$O$40,0),1)</f>
        <v>Richton</v>
      </c>
      <c r="M14" s="84">
        <f>INDEX(Recap!$A$24:$O$40,MATCH(10,Recap!$O$24:$O$40,0),14)</f>
        <v>73</v>
      </c>
      <c r="N14" s="11"/>
    </row>
    <row r="15" spans="1:14" ht="18" customHeight="1">
      <c r="A15" s="36">
        <v>11</v>
      </c>
      <c r="B15" s="37" t="str">
        <f>INDEX(Recap!$A$24:$O$40,MATCH(11,Recap!$C$24:$C$40,0),1)</f>
        <v>Bruce</v>
      </c>
      <c r="C15" s="84">
        <f>INDEX(Recap!$A$24:$O$40,MATCH(11,Recap!$C$24:$C$40,0),2)</f>
        <v>25.900000000000002</v>
      </c>
      <c r="D15" s="37" t="str">
        <f>INDEX(Recap!$A$24:$O$40,MATCH(11,Recap!$E$24:$E$40,0),1)</f>
        <v>Taylorsville</v>
      </c>
      <c r="E15" s="84">
        <f>INDEX(Recap!$A$24:$O$40,MATCH(11,Recap!$E$24:$E$40,0),4)</f>
        <v>21.525</v>
      </c>
      <c r="F15" s="37" t="str">
        <f>INDEX(Recap!$A$24:$O$40,MATCH(11,Recap!$G$24:$G$40,0),1)</f>
        <v>Richton</v>
      </c>
      <c r="G15" s="84">
        <f>INDEX(Recap!$A$24:$O$40,MATCH(11,Recap!$G$24:$G$40,0),6)</f>
        <v>22.125</v>
      </c>
      <c r="H15" s="37" t="str">
        <f>INDEX(Recap!$A$24:$O$40,MATCH(11,Recap!$K$24:$K$40,0),1)</f>
        <v>Richton</v>
      </c>
      <c r="I15" s="84">
        <f>INDEX(Recap!$A$24:$O$40,MATCH(11,Recap!$K$24:$K$40,0),10)</f>
        <v>70.6</v>
      </c>
      <c r="J15" s="37" t="str">
        <f>INDEX(Recap!$A$24:$O$40,MATCH(11,Recap!$M$24:$M$40,0),1)</f>
        <v>Taylorsville</v>
      </c>
      <c r="K15" s="84">
        <f>INDEX(Recap!$A$24:$O$40,MATCH(11,Recap!$M$24:$M$40,0),12)</f>
        <v>73</v>
      </c>
      <c r="L15" s="37" t="str">
        <f>INDEX(Recap!$A$24:$O$40,MATCH(11,Recap!$O$24:$O$40,0),1)</f>
        <v>Ackerman</v>
      </c>
      <c r="M15" s="84">
        <f>INDEX(Recap!$A$24:$O$40,MATCH(11,Recap!$O$24:$O$40,0),14)</f>
        <v>71.5</v>
      </c>
      <c r="N15" s="11"/>
    </row>
    <row r="16" spans="1:14" ht="18" customHeight="1" hidden="1">
      <c r="A16" s="76"/>
      <c r="B16" s="75"/>
      <c r="C16" s="74"/>
      <c r="D16" s="73"/>
      <c r="E16" s="77"/>
      <c r="F16" s="73"/>
      <c r="G16" s="74"/>
      <c r="H16" s="75"/>
      <c r="I16" s="74"/>
      <c r="J16" s="75"/>
      <c r="K16" s="77"/>
      <c r="L16" s="75"/>
      <c r="M16" s="77"/>
      <c r="N16" s="11"/>
    </row>
    <row r="17" spans="1:14" ht="18" customHeight="1" hidden="1">
      <c r="A17" s="76"/>
      <c r="B17" s="75"/>
      <c r="C17" s="74"/>
      <c r="D17" s="73"/>
      <c r="E17" s="77"/>
      <c r="F17" s="73"/>
      <c r="G17" s="74"/>
      <c r="H17" s="75"/>
      <c r="I17" s="74"/>
      <c r="J17" s="75"/>
      <c r="K17" s="77"/>
      <c r="L17" s="75"/>
      <c r="M17" s="77"/>
      <c r="N17" s="11"/>
    </row>
    <row r="18" spans="1:14" ht="18" customHeight="1" hidden="1">
      <c r="A18" s="76"/>
      <c r="B18" s="75"/>
      <c r="C18" s="74"/>
      <c r="D18" s="73"/>
      <c r="E18" s="77"/>
      <c r="F18" s="73"/>
      <c r="G18" s="74"/>
      <c r="H18" s="75"/>
      <c r="I18" s="74"/>
      <c r="J18" s="75"/>
      <c r="K18" s="77"/>
      <c r="L18" s="75"/>
      <c r="M18" s="77"/>
      <c r="N18" s="11"/>
    </row>
    <row r="19" spans="1:14" ht="18" customHeight="1" hidden="1">
      <c r="A19" s="78"/>
      <c r="B19" s="79"/>
      <c r="C19" s="74"/>
      <c r="D19" s="73"/>
      <c r="E19" s="80"/>
      <c r="F19" s="73"/>
      <c r="G19" s="74"/>
      <c r="H19" s="75"/>
      <c r="I19" s="74"/>
      <c r="J19" s="79"/>
      <c r="K19" s="80"/>
      <c r="L19" s="79"/>
      <c r="M19" s="80"/>
      <c r="N19" s="11"/>
    </row>
    <row r="20" spans="1:14" s="10" customFormat="1" ht="18" customHeight="1" hidden="1" thickBot="1">
      <c r="A20" s="81"/>
      <c r="B20" s="82"/>
      <c r="C20" s="83"/>
      <c r="D20" s="82"/>
      <c r="E20" s="83"/>
      <c r="F20" s="82"/>
      <c r="G20" s="83"/>
      <c r="H20" s="82"/>
      <c r="I20" s="83"/>
      <c r="J20" s="82"/>
      <c r="K20" s="83"/>
      <c r="L20" s="82"/>
      <c r="M20" s="83"/>
      <c r="N20" s="71"/>
    </row>
    <row r="21" spans="1:14" ht="12.75">
      <c r="A21" s="7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</sheetData>
  <sheetProtection selectLockedCells="1" selectUnlockedCells="1"/>
  <mergeCells count="7">
    <mergeCell ref="J3:K3"/>
    <mergeCell ref="L3:M3"/>
    <mergeCell ref="H3:I3"/>
    <mergeCell ref="A3:A4"/>
    <mergeCell ref="B3:C3"/>
    <mergeCell ref="D3:E3"/>
    <mergeCell ref="F3:G3"/>
  </mergeCells>
  <printOptions horizontalCentered="1" verticalCentered="1"/>
  <pageMargins left="0" right="0" top="0.25" bottom="0.25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8515625" style="0" bestFit="1" customWidth="1"/>
    <col min="2" max="2" width="55.8515625" style="0" customWidth="1"/>
    <col min="3" max="3" width="16.8515625" style="0" bestFit="1" customWidth="1"/>
    <col min="4" max="4" width="9.00390625" style="0" bestFit="1" customWidth="1"/>
    <col min="5" max="5" width="12.28125" style="0" bestFit="1" customWidth="1"/>
    <col min="6" max="6" width="14.7109375" style="0" bestFit="1" customWidth="1"/>
  </cols>
  <sheetData>
    <row r="1" spans="1:6" ht="31.5" customHeight="1">
      <c r="A1" s="11"/>
      <c r="B1" s="89" t="s">
        <v>45</v>
      </c>
      <c r="C1" s="90"/>
      <c r="D1" s="90"/>
      <c r="E1" s="140" t="str">
        <f>Scores!A3</f>
        <v>CLASS 2A</v>
      </c>
      <c r="F1" s="140"/>
    </row>
    <row r="2" spans="1:6" ht="33.75" customHeight="1">
      <c r="A2" s="85"/>
      <c r="B2" s="88" t="s">
        <v>39</v>
      </c>
      <c r="C2" s="88" t="s">
        <v>27</v>
      </c>
      <c r="D2" s="88" t="s">
        <v>28</v>
      </c>
      <c r="E2" s="88" t="s">
        <v>29</v>
      </c>
      <c r="F2" s="88" t="s">
        <v>30</v>
      </c>
    </row>
    <row r="3" spans="1:6" ht="23.25">
      <c r="A3" s="86" t="s">
        <v>33</v>
      </c>
      <c r="B3" s="91" t="str">
        <f>INDEX(Recap!$A$24:$O$40,MATCH(4,Recap!$K$24:$K$40,0),1)</f>
        <v>Wesson</v>
      </c>
      <c r="C3" s="87">
        <v>0.2652777777777778</v>
      </c>
      <c r="D3" s="88" t="s">
        <v>32</v>
      </c>
      <c r="E3" s="87">
        <v>0.28194444444444444</v>
      </c>
      <c r="F3" s="87">
        <v>0.2916666666666667</v>
      </c>
    </row>
    <row r="4" spans="1:6" ht="23.25">
      <c r="A4" s="86" t="s">
        <v>35</v>
      </c>
      <c r="B4" s="91" t="str">
        <f>INDEX(Recap!$A$24:$O$40,MATCH(2,Recap!$K$24:$K$40,0),1)</f>
        <v>Eupora</v>
      </c>
      <c r="C4" s="87">
        <v>0.2736111111111111</v>
      </c>
      <c r="D4" s="88" t="s">
        <v>34</v>
      </c>
      <c r="E4" s="87">
        <v>0.2902777777777778</v>
      </c>
      <c r="F4" s="87">
        <v>0.3</v>
      </c>
    </row>
    <row r="5" spans="1:6" ht="23.25">
      <c r="A5" s="86" t="s">
        <v>36</v>
      </c>
      <c r="B5" s="91" t="str">
        <f>INDEX(Recap!$A$24:$O$40,MATCH(5,Recap!$K$24:$K$40,0),1)</f>
        <v>Baldwyn</v>
      </c>
      <c r="C5" s="87">
        <v>0.28194444444444444</v>
      </c>
      <c r="D5" s="88" t="s">
        <v>32</v>
      </c>
      <c r="E5" s="87">
        <v>0.2986111111111111</v>
      </c>
      <c r="F5" s="87">
        <v>0.30833333333333335</v>
      </c>
    </row>
    <row r="6" spans="1:6" ht="23.25">
      <c r="A6" s="86" t="s">
        <v>31</v>
      </c>
      <c r="B6" s="91" t="str">
        <f>INDEX(Recap!$A$24:$O$40,MATCH(1,Recap!$K$24:$K$40,0),1)</f>
        <v>Union</v>
      </c>
      <c r="C6" s="87">
        <v>0.2902777777777778</v>
      </c>
      <c r="D6" s="88" t="s">
        <v>34</v>
      </c>
      <c r="E6" s="87">
        <v>0.3069444444444444</v>
      </c>
      <c r="F6" s="87">
        <v>0.31666666666666665</v>
      </c>
    </row>
    <row r="7" spans="1:6" ht="23.25">
      <c r="A7" s="86" t="s">
        <v>37</v>
      </c>
      <c r="B7" s="91" t="str">
        <f>INDEX(Recap!$A$24:$O$40,MATCH(3,Recap!$K$24:$K$40,0),1)</f>
        <v>Scott Central</v>
      </c>
      <c r="C7" s="87">
        <v>0.2986111111111111</v>
      </c>
      <c r="D7" s="88" t="s">
        <v>32</v>
      </c>
      <c r="E7" s="87">
        <v>0.31527777777777777</v>
      </c>
      <c r="F7" s="87">
        <v>0.325</v>
      </c>
    </row>
    <row r="8" spans="1:6" ht="23.25">
      <c r="A8" s="86" t="s">
        <v>38</v>
      </c>
      <c r="B8" s="91" t="str">
        <f>INDEX(Recap!$A$24:$O$40,MATCH(6,Recap!$K$24:$K$40,0),1)</f>
        <v>Ackerman</v>
      </c>
      <c r="C8" s="87">
        <v>0.3069444444444444</v>
      </c>
      <c r="D8" s="88" t="s">
        <v>34</v>
      </c>
      <c r="E8" s="87">
        <v>0.3236111111111111</v>
      </c>
      <c r="F8" s="87">
        <v>0.3333333333333333</v>
      </c>
    </row>
    <row r="9" spans="1:6" ht="23.25">
      <c r="A9" s="86"/>
      <c r="B9" s="141" t="s">
        <v>55</v>
      </c>
      <c r="C9" s="141"/>
      <c r="D9" s="141"/>
      <c r="E9" s="141"/>
      <c r="F9" s="87">
        <v>0.40277777777777773</v>
      </c>
    </row>
    <row r="10" spans="1:6" ht="23.25">
      <c r="A10" s="86"/>
      <c r="B10" s="141" t="s">
        <v>56</v>
      </c>
      <c r="C10" s="141"/>
      <c r="D10" s="141"/>
      <c r="E10" s="141"/>
      <c r="F10" s="87">
        <v>0.4270833333333333</v>
      </c>
    </row>
    <row r="11" spans="1:6" ht="12.75">
      <c r="A11" s="11"/>
      <c r="B11" s="90"/>
      <c r="C11" s="90"/>
      <c r="D11" s="90"/>
      <c r="E11" s="90"/>
      <c r="F11" s="90"/>
    </row>
    <row r="12" spans="1:6" ht="12.75">
      <c r="A12" s="11"/>
      <c r="B12" s="139" t="s">
        <v>40</v>
      </c>
      <c r="C12" s="139"/>
      <c r="D12" s="139"/>
      <c r="E12" s="139"/>
      <c r="F12" s="139"/>
    </row>
    <row r="13" spans="1:6" ht="12.75">
      <c r="A13" s="11"/>
      <c r="B13" s="139"/>
      <c r="C13" s="139"/>
      <c r="D13" s="139"/>
      <c r="E13" s="139"/>
      <c r="F13" s="139"/>
    </row>
    <row r="14" spans="1:6" ht="12.75">
      <c r="A14" s="11"/>
      <c r="B14" s="139"/>
      <c r="C14" s="139"/>
      <c r="D14" s="139"/>
      <c r="E14" s="139"/>
      <c r="F14" s="139"/>
    </row>
  </sheetData>
  <sheetProtection selectLockedCells="1" selectUnlockedCells="1"/>
  <mergeCells count="4">
    <mergeCell ref="B12:F14"/>
    <mergeCell ref="E1:F1"/>
    <mergeCell ref="B9:E9"/>
    <mergeCell ref="B10:E10"/>
  </mergeCells>
  <printOptions horizontalCentered="1" verticalCentered="1"/>
  <pageMargins left="0" right="0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2009-10-25T01:08:08Z</cp:lastPrinted>
  <dcterms:created xsi:type="dcterms:W3CDTF">2005-10-07T16:30:03Z</dcterms:created>
  <dcterms:modified xsi:type="dcterms:W3CDTF">2009-10-26T02:41:00Z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